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6.xml" ContentType="application/vnd.openxmlformats-officedocument.drawing+xml"/>
  <Override PartName="/xl/ctrlProps/ctrlProp1.xml" ContentType="application/vnd.ms-excel.controlproperties+xml"/>
  <Override PartName="/xl/tables/table2.xml" ContentType="application/vnd.openxmlformats-officedocument.spreadsheetml.table+xml"/>
  <Override PartName="/xl/slicers/slicer2.xml" ContentType="application/vnd.ms-excel.slicer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ate1904="1" codeName="ThisWorkbook"/>
  <mc:AlternateContent xmlns:mc="http://schemas.openxmlformats.org/markup-compatibility/2006">
    <mc:Choice Requires="x15">
      <x15ac:absPath xmlns:x15ac="http://schemas.microsoft.com/office/spreadsheetml/2010/11/ac" url="/Users/umbertofossali/Desktop/Umberto 2026/i segreti del bilancio/ebook bilancio/"/>
    </mc:Choice>
  </mc:AlternateContent>
  <xr:revisionPtr revIDLastSave="0" documentId="13_ncr:1_{F2A6C83A-47E6-6040-9EE1-5A5FEDEEE1BD}" xr6:coauthVersionLast="47" xr6:coauthVersionMax="47" xr10:uidLastSave="{00000000-0000-0000-0000-000000000000}"/>
  <bookViews>
    <workbookView xWindow="30240" yWindow="-5060" windowWidth="38400" windowHeight="21000" tabRatio="774" firstSheet="2" activeTab="2" xr2:uid="{00000000-000D-0000-FFFF-FFFF00000000}"/>
  </bookViews>
  <sheets>
    <sheet name="indice" sheetId="32" r:id="rId1"/>
    <sheet name="bilancio cee" sheetId="26" r:id="rId2"/>
    <sheet name="conto economico va" sheetId="16" r:id="rId3"/>
    <sheet name="conto economico margine " sheetId="1" r:id="rId4"/>
    <sheet name="Conto economico RI" sheetId="25" r:id="rId5"/>
    <sheet name="break even" sheetId="15" r:id="rId6"/>
    <sheet name="pareto" sheetId="30" r:id="rId7"/>
    <sheet name="Stato patrimoniale" sheetId="2" r:id="rId8"/>
    <sheet name="rendiconto finanziario" sheetId="5" r:id="rId9"/>
    <sheet name="rendiconto di liquidità" sheetId="24" r:id="rId10"/>
    <sheet name="rendiconto OIC" sheetId="28" r:id="rId11"/>
    <sheet name="flussi di ccn" sheetId="23" r:id="rId12"/>
    <sheet name="albero redditività" sheetId="19" r:id="rId13"/>
    <sheet name="indici" sheetId="31" r:id="rId14"/>
    <sheet name="Kri e Kpi" sheetId="33" r:id="rId15"/>
    <sheet name="indicatori crisi" sheetId="29" r:id="rId16"/>
    <sheet name="valutazione" sheetId="27" r:id="rId17"/>
  </sheets>
  <definedNames>
    <definedName name="_xlnm.Print_Area" localSheetId="5">'break even'!$E$15:$L$41</definedName>
    <definedName name="_xlnm.Print_Area" localSheetId="3">'conto economico margine '!$A$9:$G$74</definedName>
    <definedName name="_xlnm.Print_Area" localSheetId="2">'conto economico va'!$A$13:$G$88</definedName>
    <definedName name="_xlnm.Print_Area" localSheetId="11">'flussi di ccn'!$A$1:$B$35</definedName>
    <definedName name="_xlnm.Print_Area" localSheetId="9">'rendiconto di liquidità'!$A$9:$B$49</definedName>
    <definedName name="_xlnm.Print_Area" localSheetId="8">'rendiconto finanziario'!$A$1:$D$51</definedName>
    <definedName name="_xlnm.Print_Area" localSheetId="7">'Stato patrimoniale'!$A$10:$H$63</definedName>
    <definedName name="FATTURATO2022">#REF!</definedName>
    <definedName name="FiltroDati_INDICATORE">#N/A</definedName>
    <definedName name="FiltroDati_INDICATORE1">#N/A</definedName>
    <definedName name="FiltroDati_TIPO">#N/A</definedName>
    <definedName name="FiltroDati_TIPO1">#N/A</definedName>
    <definedName name="oneri_finanziari2022">#REF!</definedName>
    <definedName name="_xlnm.Print_Titles" localSheetId="3">'conto economico margine '!$A:$A</definedName>
    <definedName name="_xlnm.Print_Titles" localSheetId="2">'conto economico va'!$A:$A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18"/>
        <x14:slicerCache r:id="rId19"/>
        <x14:slicerCache r:id="rId20"/>
        <x14:slicerCache r:id="rId21"/>
      </x15:slicerCaches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42" i="33" l="1"/>
  <c r="D142" i="33"/>
  <c r="C142" i="33"/>
  <c r="B142" i="33"/>
  <c r="A142" i="33"/>
  <c r="N118" i="33"/>
  <c r="M118" i="33"/>
  <c r="L118" i="33"/>
  <c r="K118" i="33"/>
  <c r="D118" i="33"/>
  <c r="C118" i="33"/>
  <c r="B118" i="33"/>
  <c r="A118" i="33"/>
  <c r="N94" i="33"/>
  <c r="M94" i="33"/>
  <c r="L94" i="33"/>
  <c r="K94" i="33"/>
  <c r="D94" i="33"/>
  <c r="C94" i="33"/>
  <c r="B94" i="33"/>
  <c r="A94" i="33"/>
  <c r="N72" i="33"/>
  <c r="M72" i="33"/>
  <c r="L72" i="33"/>
  <c r="K72" i="33"/>
  <c r="D72" i="33"/>
  <c r="C72" i="33"/>
  <c r="B72" i="33"/>
  <c r="A72" i="33"/>
  <c r="E48" i="33" a="1"/>
  <c r="E48" i="33" s="1"/>
  <c r="I48" i="33" s="1"/>
  <c r="N48" i="33"/>
  <c r="M48" i="33"/>
  <c r="L48" i="33"/>
  <c r="K48" i="33"/>
  <c r="D48" i="33"/>
  <c r="C48" i="33"/>
  <c r="B48" i="33"/>
  <c r="A48" i="33"/>
  <c r="O6" i="33"/>
  <c r="N222" i="31"/>
  <c r="M222" i="31"/>
  <c r="L222" i="31"/>
  <c r="K222" i="31"/>
  <c r="D222" i="31"/>
  <c r="C222" i="31"/>
  <c r="B222" i="31"/>
  <c r="A222" i="31"/>
  <c r="N199" i="31"/>
  <c r="M199" i="31"/>
  <c r="L199" i="31"/>
  <c r="K199" i="31"/>
  <c r="D199" i="31"/>
  <c r="C199" i="31"/>
  <c r="B199" i="31"/>
  <c r="A199" i="31"/>
  <c r="N176" i="31"/>
  <c r="M176" i="31"/>
  <c r="L176" i="31"/>
  <c r="K176" i="31"/>
  <c r="D176" i="31"/>
  <c r="C176" i="31"/>
  <c r="B176" i="31"/>
  <c r="A176" i="31"/>
  <c r="N151" i="31"/>
  <c r="M151" i="31"/>
  <c r="L151" i="31"/>
  <c r="K151" i="31"/>
  <c r="D151" i="31"/>
  <c r="C151" i="31"/>
  <c r="B151" i="31"/>
  <c r="A151" i="31"/>
  <c r="N129" i="31"/>
  <c r="M129" i="31"/>
  <c r="L129" i="31"/>
  <c r="K129" i="31"/>
  <c r="D129" i="31"/>
  <c r="C129" i="31"/>
  <c r="B129" i="31"/>
  <c r="A129" i="31"/>
  <c r="N107" i="31"/>
  <c r="M107" i="31"/>
  <c r="L107" i="31"/>
  <c r="K107" i="31"/>
  <c r="D107" i="31"/>
  <c r="C107" i="31"/>
  <c r="B107" i="31"/>
  <c r="A107" i="31"/>
  <c r="N85" i="31"/>
  <c r="M85" i="31"/>
  <c r="L85" i="31"/>
  <c r="K85" i="31"/>
  <c r="D85" i="31"/>
  <c r="C85" i="31"/>
  <c r="B85" i="31"/>
  <c r="A85" i="31"/>
  <c r="N61" i="31"/>
  <c r="M61" i="31"/>
  <c r="L61" i="31"/>
  <c r="K61" i="31"/>
  <c r="D61" i="31"/>
  <c r="C61" i="31"/>
  <c r="B61" i="31"/>
  <c r="A61" i="31"/>
  <c r="F74" i="2" l="1"/>
  <c r="B16" i="5" l="1"/>
  <c r="C16" i="5"/>
  <c r="D16" i="5"/>
  <c r="G19" i="29" l="1"/>
  <c r="C13" i="30" l="1"/>
  <c r="D15" i="30"/>
  <c r="D16" i="30" s="1"/>
  <c r="D17" i="30" s="1"/>
  <c r="D18" i="30" s="1"/>
  <c r="D19" i="30" s="1"/>
  <c r="D20" i="30" s="1"/>
  <c r="D21" i="30" s="1"/>
  <c r="D22" i="30" s="1"/>
  <c r="D23" i="30" s="1"/>
  <c r="D24" i="30" s="1"/>
  <c r="D25" i="30" s="1"/>
  <c r="D26" i="30" s="1"/>
  <c r="D27" i="30" s="1"/>
  <c r="D28" i="30" s="1"/>
  <c r="D29" i="30" s="1"/>
  <c r="D30" i="30" s="1"/>
  <c r="D31" i="30" s="1"/>
  <c r="D32" i="30" s="1"/>
  <c r="D33" i="30" s="1"/>
  <c r="D34" i="30" s="1"/>
  <c r="D35" i="30" s="1"/>
  <c r="D36" i="30" s="1"/>
  <c r="D37" i="30" s="1"/>
  <c r="D38" i="30" s="1"/>
  <c r="D39" i="30" s="1"/>
  <c r="D40" i="30" s="1"/>
  <c r="D41" i="30" s="1"/>
  <c r="D42" i="30" s="1"/>
  <c r="D43" i="30" s="1"/>
  <c r="D44" i="30" s="1"/>
  <c r="D45" i="30" s="1"/>
  <c r="D46" i="30" s="1"/>
  <c r="D47" i="30" s="1"/>
  <c r="E22" i="30" l="1"/>
  <c r="E21" i="30"/>
  <c r="E26" i="30"/>
  <c r="E27" i="30"/>
  <c r="E28" i="30"/>
  <c r="E29" i="30"/>
  <c r="E36" i="30"/>
  <c r="E37" i="30"/>
  <c r="E42" i="30"/>
  <c r="E43" i="30"/>
  <c r="E44" i="30"/>
  <c r="E45" i="30"/>
  <c r="E20" i="30"/>
  <c r="E35" i="30"/>
  <c r="E19" i="30"/>
  <c r="E34" i="30"/>
  <c r="E18" i="30"/>
  <c r="E41" i="30"/>
  <c r="E33" i="30"/>
  <c r="E25" i="30"/>
  <c r="E17" i="30"/>
  <c r="E15" i="30"/>
  <c r="F15" i="30" s="1"/>
  <c r="E40" i="30"/>
  <c r="E32" i="30"/>
  <c r="E24" i="30"/>
  <c r="E16" i="30"/>
  <c r="E47" i="30"/>
  <c r="E39" i="30"/>
  <c r="E31" i="30"/>
  <c r="E23" i="30"/>
  <c r="E46" i="30"/>
  <c r="E38" i="30"/>
  <c r="E30" i="30"/>
  <c r="D23" i="29"/>
  <c r="A23" i="29"/>
  <c r="D22" i="29"/>
  <c r="A22" i="29"/>
  <c r="D21" i="29"/>
  <c r="A21" i="29"/>
  <c r="D20" i="29"/>
  <c r="A20" i="29"/>
  <c r="D19" i="29"/>
  <c r="A19" i="29"/>
  <c r="E16" i="29"/>
  <c r="F16" i="30" l="1"/>
  <c r="F17" i="30" s="1"/>
  <c r="F18" i="30" s="1"/>
  <c r="F19" i="30" s="1"/>
  <c r="F20" i="30" s="1"/>
  <c r="F21" i="30" s="1"/>
  <c r="F22" i="30" s="1"/>
  <c r="F23" i="30" s="1"/>
  <c r="F24" i="30" s="1"/>
  <c r="F25" i="30" s="1"/>
  <c r="F26" i="30" s="1"/>
  <c r="F27" i="30" s="1"/>
  <c r="F28" i="30" s="1"/>
  <c r="F29" i="30" s="1"/>
  <c r="F30" i="30" s="1"/>
  <c r="F31" i="30" s="1"/>
  <c r="F32" i="30" s="1"/>
  <c r="F33" i="30" s="1"/>
  <c r="F34" i="30" s="1"/>
  <c r="F35" i="30" s="1"/>
  <c r="F36" i="30" s="1"/>
  <c r="F37" i="30" s="1"/>
  <c r="F38" i="30" s="1"/>
  <c r="F39" i="30" s="1"/>
  <c r="F40" i="30" s="1"/>
  <c r="F41" i="30" s="1"/>
  <c r="F42" i="30" s="1"/>
  <c r="F43" i="30" s="1"/>
  <c r="F44" i="30" s="1"/>
  <c r="F45" i="30" s="1"/>
  <c r="F46" i="30" s="1"/>
  <c r="F47" i="30" s="1"/>
  <c r="C75" i="28"/>
  <c r="C73" i="28"/>
  <c r="C70" i="28"/>
  <c r="C68" i="28"/>
  <c r="J55" i="2"/>
  <c r="C32" i="28" s="1"/>
  <c r="J53" i="2"/>
  <c r="J52" i="2"/>
  <c r="J51" i="2"/>
  <c r="L52" i="2"/>
  <c r="L51" i="2"/>
  <c r="L50" i="2"/>
  <c r="L49" i="2"/>
  <c r="L48" i="2"/>
  <c r="C31" i="28" s="1"/>
  <c r="C23" i="28"/>
  <c r="C22" i="28"/>
  <c r="K25" i="2"/>
  <c r="K26" i="2"/>
  <c r="D70" i="28"/>
  <c r="D68" i="28"/>
  <c r="D75" i="28"/>
  <c r="D73" i="28"/>
  <c r="K52" i="2"/>
  <c r="K51" i="2"/>
  <c r="K50" i="2"/>
  <c r="K49" i="2"/>
  <c r="K48" i="2"/>
  <c r="D31" i="28" s="1"/>
  <c r="I53" i="2"/>
  <c r="I52" i="2"/>
  <c r="I51" i="2"/>
  <c r="K53" i="2"/>
  <c r="D33" i="28" s="1"/>
  <c r="I55" i="2"/>
  <c r="D32" i="28" s="1"/>
  <c r="D22" i="28"/>
  <c r="D23" i="28"/>
  <c r="D16" i="28"/>
  <c r="G26" i="28" s="1"/>
  <c r="J54" i="2" l="1"/>
  <c r="C34" i="28" s="1"/>
  <c r="I54" i="2"/>
  <c r="N51" i="2"/>
  <c r="D34" i="28" l="1"/>
  <c r="N52" i="2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A49" i="1"/>
  <c r="A48" i="1"/>
  <c r="A47" i="1"/>
  <c r="A46" i="1"/>
  <c r="A45" i="1"/>
  <c r="A44" i="1"/>
  <c r="A43" i="1"/>
  <c r="A29" i="1"/>
  <c r="A28" i="1"/>
  <c r="A27" i="1"/>
  <c r="A26" i="1"/>
  <c r="A25" i="1"/>
  <c r="I33" i="1" l="1"/>
  <c r="I32" i="1"/>
  <c r="I31" i="1"/>
  <c r="I30" i="1"/>
  <c r="I29" i="1"/>
  <c r="I28" i="1"/>
  <c r="I27" i="1"/>
  <c r="I26" i="1"/>
  <c r="I25" i="1"/>
  <c r="I24" i="1"/>
  <c r="I23" i="1"/>
  <c r="I22" i="1"/>
  <c r="I21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E87" i="27" l="1"/>
  <c r="E92" i="27" l="1"/>
  <c r="F87" i="27"/>
  <c r="E88" i="27"/>
  <c r="G87" i="27" l="1"/>
  <c r="F92" i="27"/>
  <c r="F88" i="27"/>
  <c r="F89" i="27" s="1"/>
  <c r="E89" i="27"/>
  <c r="I33" i="27"/>
  <c r="G92" i="27" l="1"/>
  <c r="G88" i="27"/>
  <c r="G89" i="27" s="1"/>
  <c r="H87" i="27"/>
  <c r="J48" i="26"/>
  <c r="I48" i="26"/>
  <c r="H48" i="26"/>
  <c r="F35" i="27"/>
  <c r="C35" i="27"/>
  <c r="F34" i="27"/>
  <c r="C33" i="27"/>
  <c r="I37" i="27"/>
  <c r="L12" i="27"/>
  <c r="H88" i="27" l="1"/>
  <c r="H89" i="27" s="1"/>
  <c r="H92" i="27"/>
  <c r="I15" i="27"/>
  <c r="I48" i="27"/>
  <c r="C34" i="27"/>
  <c r="C37" i="27"/>
  <c r="F37" i="27"/>
  <c r="J22" i="27"/>
  <c r="K22" i="27" s="1"/>
  <c r="D61" i="2" l="1"/>
  <c r="D56" i="2"/>
  <c r="C39" i="19" s="1"/>
  <c r="D50" i="2"/>
  <c r="D47" i="2"/>
  <c r="C37" i="19" s="1"/>
  <c r="D16" i="2"/>
  <c r="D17" i="2"/>
  <c r="D18" i="2"/>
  <c r="D19" i="2"/>
  <c r="D20" i="2"/>
  <c r="D21" i="2"/>
  <c r="D22" i="2"/>
  <c r="D23" i="2"/>
  <c r="D29" i="2"/>
  <c r="D31" i="2"/>
  <c r="D33" i="2"/>
  <c r="D35" i="2"/>
  <c r="D38" i="2"/>
  <c r="C35" i="19" s="1"/>
  <c r="F35" i="19" s="1"/>
  <c r="H47" i="2"/>
  <c r="H24" i="2"/>
  <c r="I34" i="19" s="1"/>
  <c r="K34" i="19" s="1"/>
  <c r="H61" i="2"/>
  <c r="H42" i="2"/>
  <c r="H41" i="2" s="1"/>
  <c r="H15" i="2"/>
  <c r="I33" i="19" s="1"/>
  <c r="C61" i="2"/>
  <c r="G61" i="2"/>
  <c r="G42" i="2"/>
  <c r="G41" i="2" s="1"/>
  <c r="B19" i="16"/>
  <c r="B53" i="16"/>
  <c r="C40" i="1" s="1"/>
  <c r="B63" i="16"/>
  <c r="B70" i="16"/>
  <c r="B77" i="16"/>
  <c r="B66" i="1" s="1"/>
  <c r="B85" i="16"/>
  <c r="B86" i="16"/>
  <c r="B72" i="1" s="1"/>
  <c r="C16" i="1"/>
  <c r="B14" i="1" s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B22" i="1"/>
  <c r="F16" i="1"/>
  <c r="E14" i="1"/>
  <c r="G15" i="15" s="1"/>
  <c r="E53" i="16"/>
  <c r="F40" i="1"/>
  <c r="E63" i="16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I16" i="1"/>
  <c r="H14" i="1" s="1"/>
  <c r="J23" i="1" s="1"/>
  <c r="F78" i="16"/>
  <c r="E77" i="16" s="1"/>
  <c r="C114" i="26"/>
  <c r="B85" i="26"/>
  <c r="C89" i="26" s="1"/>
  <c r="C91" i="26"/>
  <c r="E89" i="26"/>
  <c r="E102" i="26" s="1"/>
  <c r="G89" i="26"/>
  <c r="G102" i="26" s="1"/>
  <c r="B52" i="26"/>
  <c r="C56" i="26" s="1"/>
  <c r="C61" i="26" s="1"/>
  <c r="C43" i="26"/>
  <c r="C38" i="26"/>
  <c r="C31" i="26"/>
  <c r="C45" i="26" s="1"/>
  <c r="C23" i="26"/>
  <c r="C139" i="26"/>
  <c r="C141" i="26"/>
  <c r="C162" i="26"/>
  <c r="C174" i="26"/>
  <c r="C225" i="26"/>
  <c r="C235" i="26"/>
  <c r="C267" i="26"/>
  <c r="C277" i="26"/>
  <c r="C279" i="26" s="1"/>
  <c r="C294" i="26"/>
  <c r="F110" i="26"/>
  <c r="G114" i="26" s="1"/>
  <c r="D110" i="26"/>
  <c r="E114" i="26" s="1"/>
  <c r="E43" i="26"/>
  <c r="E38" i="26"/>
  <c r="E31" i="26"/>
  <c r="G43" i="26"/>
  <c r="G38" i="26"/>
  <c r="G31" i="26"/>
  <c r="H14" i="16"/>
  <c r="I50" i="16"/>
  <c r="I34" i="1" s="1"/>
  <c r="H53" i="16"/>
  <c r="I40" i="1" s="1"/>
  <c r="H63" i="16"/>
  <c r="I27" i="25" s="1"/>
  <c r="E14" i="16"/>
  <c r="C56" i="2"/>
  <c r="C50" i="2"/>
  <c r="C47" i="2"/>
  <c r="C16" i="2"/>
  <c r="C17" i="2"/>
  <c r="C18" i="2"/>
  <c r="C19" i="2"/>
  <c r="C20" i="2"/>
  <c r="C21" i="2"/>
  <c r="C22" i="2"/>
  <c r="C23" i="2"/>
  <c r="C29" i="2"/>
  <c r="C31" i="2"/>
  <c r="C33" i="2"/>
  <c r="C35" i="2"/>
  <c r="C38" i="2"/>
  <c r="G47" i="2"/>
  <c r="G24" i="2"/>
  <c r="L50" i="26"/>
  <c r="N50" i="26" s="1"/>
  <c r="L20" i="26"/>
  <c r="L21" i="26"/>
  <c r="L30" i="26" s="1"/>
  <c r="L22" i="26"/>
  <c r="L24" i="26"/>
  <c r="L26" i="26"/>
  <c r="M20" i="26"/>
  <c r="M21" i="26"/>
  <c r="M22" i="26"/>
  <c r="M23" i="26"/>
  <c r="M24" i="26"/>
  <c r="M25" i="26"/>
  <c r="M26" i="26"/>
  <c r="M27" i="26"/>
  <c r="L32" i="26"/>
  <c r="M37" i="26"/>
  <c r="M39" i="26"/>
  <c r="M41" i="26"/>
  <c r="M43" i="26"/>
  <c r="K46" i="26"/>
  <c r="M46" i="26"/>
  <c r="L47" i="26"/>
  <c r="T38" i="26"/>
  <c r="T40" i="26"/>
  <c r="T42" i="26"/>
  <c r="T44" i="26"/>
  <c r="T46" i="26"/>
  <c r="T48" i="26"/>
  <c r="T36" i="26"/>
  <c r="B22" i="2"/>
  <c r="B20" i="2"/>
  <c r="B18" i="2"/>
  <c r="B17" i="2"/>
  <c r="B16" i="2"/>
  <c r="G139" i="26"/>
  <c r="G141" i="26" s="1"/>
  <c r="G174" i="26"/>
  <c r="G162" i="26"/>
  <c r="G225" i="26"/>
  <c r="G235" i="26"/>
  <c r="G277" i="26"/>
  <c r="G267" i="26"/>
  <c r="G294" i="26"/>
  <c r="E139" i="26"/>
  <c r="E141" i="26" s="1"/>
  <c r="E174" i="26"/>
  <c r="E162" i="26"/>
  <c r="E225" i="26"/>
  <c r="E235" i="26"/>
  <c r="E239" i="26"/>
  <c r="E277" i="26"/>
  <c r="E267" i="26"/>
  <c r="E279" i="26" s="1"/>
  <c r="E294" i="26"/>
  <c r="G56" i="26"/>
  <c r="G61" i="26"/>
  <c r="G23" i="26"/>
  <c r="E56" i="26"/>
  <c r="E61" i="26" s="1"/>
  <c r="E23" i="26"/>
  <c r="F53" i="19"/>
  <c r="I21" i="19" s="1"/>
  <c r="E69" i="19" s="1"/>
  <c r="F54" i="19"/>
  <c r="I22" i="19" s="1"/>
  <c r="E70" i="19" s="1"/>
  <c r="I37" i="19"/>
  <c r="C40" i="19"/>
  <c r="E81" i="19"/>
  <c r="E82" i="19"/>
  <c r="E84" i="19"/>
  <c r="H70" i="16"/>
  <c r="H77" i="16"/>
  <c r="H86" i="16"/>
  <c r="B17" i="24" s="1"/>
  <c r="H85" i="16"/>
  <c r="E19" i="16"/>
  <c r="E70" i="16"/>
  <c r="E86" i="16"/>
  <c r="E85" i="16"/>
  <c r="E74" i="25" s="1"/>
  <c r="B16" i="24"/>
  <c r="C16" i="24"/>
  <c r="D16" i="24"/>
  <c r="C18" i="24"/>
  <c r="D18" i="24"/>
  <c r="B23" i="24"/>
  <c r="B47" i="2"/>
  <c r="F53" i="2"/>
  <c r="B56" i="2"/>
  <c r="B25" i="24"/>
  <c r="B50" i="2"/>
  <c r="B24" i="2"/>
  <c r="B34" i="24"/>
  <c r="B40" i="2"/>
  <c r="B38" i="2"/>
  <c r="F15" i="2"/>
  <c r="G15" i="2"/>
  <c r="F24" i="2"/>
  <c r="B16" i="23"/>
  <c r="B38" i="24"/>
  <c r="F42" i="2"/>
  <c r="F41" i="2" s="1"/>
  <c r="B47" i="24"/>
  <c r="B61" i="2"/>
  <c r="B48" i="24"/>
  <c r="F61" i="2"/>
  <c r="C16" i="23"/>
  <c r="D16" i="23"/>
  <c r="B28" i="23"/>
  <c r="B37" i="23"/>
  <c r="B38" i="23"/>
  <c r="B39" i="23"/>
  <c r="B41" i="23"/>
  <c r="B50" i="5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B20" i="16"/>
  <c r="E20" i="16"/>
  <c r="H20" i="16"/>
  <c r="A16" i="1"/>
  <c r="A21" i="1"/>
  <c r="A22" i="1"/>
  <c r="A23" i="1"/>
  <c r="A24" i="1"/>
  <c r="A30" i="1"/>
  <c r="A31" i="1"/>
  <c r="A32" i="1"/>
  <c r="A33" i="1"/>
  <c r="A34" i="1"/>
  <c r="A42" i="1"/>
  <c r="A50" i="1"/>
  <c r="A51" i="1"/>
  <c r="A52" i="1"/>
  <c r="A53" i="1"/>
  <c r="A54" i="1"/>
  <c r="A55" i="1"/>
  <c r="A56" i="1"/>
  <c r="A57" i="1"/>
  <c r="A58" i="1"/>
  <c r="I64" i="1"/>
  <c r="I67" i="1"/>
  <c r="I68" i="1"/>
  <c r="C16" i="25"/>
  <c r="B14" i="25" s="1"/>
  <c r="F16" i="25"/>
  <c r="E14" i="25" s="1"/>
  <c r="I16" i="25"/>
  <c r="H14" i="25" s="1"/>
  <c r="A16" i="25"/>
  <c r="C21" i="25"/>
  <c r="C22" i="25"/>
  <c r="C23" i="25"/>
  <c r="C24" i="25"/>
  <c r="C25" i="25"/>
  <c r="C60" i="25"/>
  <c r="C47" i="25"/>
  <c r="C28" i="25"/>
  <c r="C29" i="25"/>
  <c r="C30" i="25"/>
  <c r="C31" i="25"/>
  <c r="C32" i="25"/>
  <c r="F21" i="25"/>
  <c r="F22" i="25"/>
  <c r="F23" i="25"/>
  <c r="F24" i="25"/>
  <c r="F25" i="25"/>
  <c r="F60" i="25"/>
  <c r="F47" i="25"/>
  <c r="F28" i="25"/>
  <c r="F29" i="25"/>
  <c r="F30" i="25"/>
  <c r="F31" i="25"/>
  <c r="F32" i="25"/>
  <c r="I21" i="25"/>
  <c r="I22" i="25"/>
  <c r="I23" i="25"/>
  <c r="I24" i="25"/>
  <c r="I25" i="25"/>
  <c r="I60" i="25"/>
  <c r="I47" i="25"/>
  <c r="I28" i="25"/>
  <c r="I29" i="25"/>
  <c r="I30" i="25"/>
  <c r="I31" i="25"/>
  <c r="I32" i="25"/>
  <c r="A21" i="25"/>
  <c r="A22" i="25"/>
  <c r="A23" i="25"/>
  <c r="A24" i="25"/>
  <c r="A25" i="25"/>
  <c r="A28" i="25"/>
  <c r="A29" i="25"/>
  <c r="A30" i="25"/>
  <c r="A31" i="25"/>
  <c r="A32" i="25"/>
  <c r="C37" i="25"/>
  <c r="C38" i="25"/>
  <c r="C39" i="25"/>
  <c r="C40" i="25"/>
  <c r="C41" i="25"/>
  <c r="C42" i="25"/>
  <c r="C43" i="25"/>
  <c r="C44" i="25"/>
  <c r="C45" i="25"/>
  <c r="C46" i="25"/>
  <c r="C49" i="25"/>
  <c r="C50" i="25"/>
  <c r="C51" i="25"/>
  <c r="C52" i="25"/>
  <c r="C53" i="25"/>
  <c r="C54" i="25"/>
  <c r="C55" i="25"/>
  <c r="C56" i="25"/>
  <c r="C57" i="25"/>
  <c r="C58" i="25"/>
  <c r="C59" i="25"/>
  <c r="F37" i="25"/>
  <c r="F38" i="25"/>
  <c r="F39" i="25"/>
  <c r="F40" i="25"/>
  <c r="F41" i="25"/>
  <c r="F42" i="25"/>
  <c r="F43" i="25"/>
  <c r="F44" i="25"/>
  <c r="F45" i="25"/>
  <c r="F46" i="25"/>
  <c r="F49" i="25"/>
  <c r="F50" i="25"/>
  <c r="F51" i="25"/>
  <c r="F52" i="25"/>
  <c r="F53" i="25"/>
  <c r="F54" i="25"/>
  <c r="F55" i="25"/>
  <c r="F56" i="25"/>
  <c r="F57" i="25"/>
  <c r="F58" i="25"/>
  <c r="F59" i="25"/>
  <c r="I37" i="25"/>
  <c r="I38" i="25"/>
  <c r="I39" i="25"/>
  <c r="I40" i="25"/>
  <c r="I41" i="25"/>
  <c r="I42" i="25"/>
  <c r="I43" i="25"/>
  <c r="I44" i="25"/>
  <c r="I45" i="25"/>
  <c r="I46" i="25"/>
  <c r="I50" i="25"/>
  <c r="I51" i="25"/>
  <c r="I52" i="25"/>
  <c r="I53" i="25"/>
  <c r="I54" i="25"/>
  <c r="I55" i="25"/>
  <c r="I56" i="25"/>
  <c r="I57" i="25"/>
  <c r="I58" i="25"/>
  <c r="I59" i="25"/>
  <c r="A37" i="25"/>
  <c r="A38" i="25"/>
  <c r="A39" i="25"/>
  <c r="A40" i="25"/>
  <c r="A41" i="25"/>
  <c r="A42" i="25"/>
  <c r="A43" i="25"/>
  <c r="A44" i="25"/>
  <c r="A45" i="25"/>
  <c r="A46" i="25"/>
  <c r="A49" i="25"/>
  <c r="A50" i="25"/>
  <c r="A51" i="25"/>
  <c r="A52" i="25"/>
  <c r="A53" i="25"/>
  <c r="A54" i="25"/>
  <c r="A55" i="25"/>
  <c r="A56" i="25"/>
  <c r="A57" i="25"/>
  <c r="A58" i="25"/>
  <c r="A59" i="25"/>
  <c r="I67" i="25"/>
  <c r="I70" i="25"/>
  <c r="I71" i="25"/>
  <c r="M30" i="26" l="1"/>
  <c r="M32" i="26"/>
  <c r="J47" i="2"/>
  <c r="G279" i="26"/>
  <c r="C97" i="2"/>
  <c r="F49" i="31" s="1"/>
  <c r="H71" i="1"/>
  <c r="H74" i="25"/>
  <c r="C16" i="28"/>
  <c r="C37" i="28" s="1"/>
  <c r="E63" i="1"/>
  <c r="G63" i="1" s="1"/>
  <c r="E66" i="25"/>
  <c r="G66" i="25" s="1"/>
  <c r="E75" i="25"/>
  <c r="E72" i="1"/>
  <c r="C102" i="26"/>
  <c r="C118" i="26" s="1"/>
  <c r="E118" i="26"/>
  <c r="C65" i="26"/>
  <c r="B20" i="29"/>
  <c r="E20" i="29" s="1"/>
  <c r="I50" i="2"/>
  <c r="D26" i="5" s="1"/>
  <c r="C38" i="19"/>
  <c r="C41" i="19" s="1"/>
  <c r="I39" i="19"/>
  <c r="K39" i="19" s="1"/>
  <c r="K62" i="2"/>
  <c r="H63" i="1"/>
  <c r="J63" i="1" s="1"/>
  <c r="H66" i="25"/>
  <c r="J66" i="25" s="1"/>
  <c r="H66" i="1"/>
  <c r="J66" i="1" s="1"/>
  <c r="H69" i="25"/>
  <c r="J69" i="25" s="1"/>
  <c r="D66" i="1"/>
  <c r="G118" i="26"/>
  <c r="K47" i="2"/>
  <c r="E183" i="26"/>
  <c r="E186" i="26" s="1"/>
  <c r="E281" i="26" s="1"/>
  <c r="E295" i="26" s="1"/>
  <c r="D56" i="27"/>
  <c r="D15" i="5"/>
  <c r="B63" i="1"/>
  <c r="B66" i="25"/>
  <c r="D66" i="25" s="1"/>
  <c r="B71" i="1"/>
  <c r="B74" i="25"/>
  <c r="F41" i="1"/>
  <c r="E39" i="1" s="1"/>
  <c r="F27" i="25"/>
  <c r="E31" i="33"/>
  <c r="E29" i="33"/>
  <c r="F31" i="33"/>
  <c r="F32" i="33" s="1"/>
  <c r="F29" i="33"/>
  <c r="E46" i="31"/>
  <c r="C33" i="32" s="1"/>
  <c r="H65" i="2"/>
  <c r="B49" i="24"/>
  <c r="J38" i="2"/>
  <c r="G20" i="29"/>
  <c r="K24" i="2"/>
  <c r="F46" i="31"/>
  <c r="D33" i="32" s="1"/>
  <c r="G46" i="31"/>
  <c r="E33" i="32" s="1"/>
  <c r="I38" i="19"/>
  <c r="I47" i="2"/>
  <c r="D30" i="28" s="1"/>
  <c r="D74" i="2"/>
  <c r="D97" i="2"/>
  <c r="C66" i="28"/>
  <c r="B65" i="2"/>
  <c r="B89" i="2" s="1"/>
  <c r="D71" i="28"/>
  <c r="C17" i="5"/>
  <c r="I49" i="25"/>
  <c r="H72" i="1"/>
  <c r="F26" i="25"/>
  <c r="C26" i="25"/>
  <c r="C18" i="28"/>
  <c r="C41" i="28" s="1"/>
  <c r="E69" i="25"/>
  <c r="G69" i="25" s="1"/>
  <c r="C15" i="28"/>
  <c r="C38" i="28" s="1"/>
  <c r="C41" i="1"/>
  <c r="B39" i="1" s="1"/>
  <c r="D39" i="1" s="1"/>
  <c r="B75" i="25"/>
  <c r="I26" i="25"/>
  <c r="H19" i="25" s="1"/>
  <c r="J19" i="25" s="1"/>
  <c r="C27" i="25"/>
  <c r="E71" i="1"/>
  <c r="B17" i="5"/>
  <c r="B17" i="23" s="1"/>
  <c r="H19" i="16"/>
  <c r="H51" i="16" s="1"/>
  <c r="E42" i="31" s="1"/>
  <c r="D15" i="28"/>
  <c r="D61" i="27"/>
  <c r="J45" i="16"/>
  <c r="C17" i="32"/>
  <c r="D18" i="28"/>
  <c r="D59" i="27"/>
  <c r="D37" i="28"/>
  <c r="D58" i="27"/>
  <c r="H75" i="25"/>
  <c r="C15" i="5"/>
  <c r="G25" i="16"/>
  <c r="D17" i="32"/>
  <c r="F40" i="31"/>
  <c r="B69" i="25"/>
  <c r="D69" i="25" s="1"/>
  <c r="E66" i="1"/>
  <c r="G66" i="1" s="1"/>
  <c r="D17" i="5"/>
  <c r="G239" i="26"/>
  <c r="L46" i="26"/>
  <c r="C183" i="26"/>
  <c r="C186" i="26" s="1"/>
  <c r="D186" i="26" s="1"/>
  <c r="J21" i="16"/>
  <c r="E41" i="31"/>
  <c r="E40" i="31"/>
  <c r="J24" i="16"/>
  <c r="J49" i="16"/>
  <c r="J23" i="16"/>
  <c r="J46" i="16"/>
  <c r="G77" i="16"/>
  <c r="F41" i="31"/>
  <c r="J37" i="16"/>
  <c r="J36" i="16"/>
  <c r="J33" i="16"/>
  <c r="J44" i="16"/>
  <c r="J32" i="16"/>
  <c r="J43" i="16"/>
  <c r="J31" i="16"/>
  <c r="J63" i="16"/>
  <c r="J42" i="16"/>
  <c r="J29" i="16"/>
  <c r="J53" i="16"/>
  <c r="J40" i="16"/>
  <c r="J27" i="16"/>
  <c r="J50" i="16"/>
  <c r="J38" i="16"/>
  <c r="J25" i="16"/>
  <c r="G20" i="16"/>
  <c r="J30" i="1"/>
  <c r="J70" i="16"/>
  <c r="G45" i="16"/>
  <c r="G37" i="16"/>
  <c r="J26" i="16"/>
  <c r="J48" i="16"/>
  <c r="J39" i="16"/>
  <c r="J30" i="16"/>
  <c r="J20" i="16"/>
  <c r="E61" i="25"/>
  <c r="G61" i="25" s="1"/>
  <c r="J41" i="16"/>
  <c r="J35" i="16"/>
  <c r="G29" i="16"/>
  <c r="J22" i="16"/>
  <c r="J77" i="16"/>
  <c r="J47" i="16"/>
  <c r="G41" i="16"/>
  <c r="J34" i="16"/>
  <c r="J28" i="16"/>
  <c r="G49" i="16"/>
  <c r="G21" i="16"/>
  <c r="G33" i="16"/>
  <c r="B61" i="25"/>
  <c r="D61" i="25" s="1"/>
  <c r="B36" i="25"/>
  <c r="D36" i="25" s="1"/>
  <c r="G70" i="16"/>
  <c r="G14" i="16"/>
  <c r="G48" i="16"/>
  <c r="G44" i="16"/>
  <c r="G40" i="16"/>
  <c r="G36" i="16"/>
  <c r="G32" i="16"/>
  <c r="G28" i="16"/>
  <c r="G24" i="16"/>
  <c r="C84" i="2"/>
  <c r="G63" i="16"/>
  <c r="J21" i="19" s="1"/>
  <c r="B48" i="25"/>
  <c r="D48" i="25" s="1"/>
  <c r="G53" i="16"/>
  <c r="E36" i="25"/>
  <c r="G36" i="25" s="1"/>
  <c r="G47" i="16"/>
  <c r="G43" i="16"/>
  <c r="G39" i="16"/>
  <c r="G35" i="16"/>
  <c r="G31" i="16"/>
  <c r="G27" i="16"/>
  <c r="G23" i="16"/>
  <c r="B86" i="2"/>
  <c r="B82" i="2"/>
  <c r="D18" i="16"/>
  <c r="D84" i="2"/>
  <c r="D54" i="27"/>
  <c r="C82" i="2"/>
  <c r="C86" i="2"/>
  <c r="C96" i="2"/>
  <c r="G50" i="16"/>
  <c r="G46" i="16"/>
  <c r="G42" i="16"/>
  <c r="G38" i="16"/>
  <c r="G34" i="16"/>
  <c r="G30" i="16"/>
  <c r="G26" i="16"/>
  <c r="G22" i="16"/>
  <c r="H45" i="2"/>
  <c r="J56" i="2"/>
  <c r="C29" i="28" s="1"/>
  <c r="C65" i="2"/>
  <c r="D66" i="28"/>
  <c r="C71" i="28"/>
  <c r="F47" i="2"/>
  <c r="F65" i="2" s="1"/>
  <c r="B95" i="2" s="1"/>
  <c r="L53" i="2"/>
  <c r="C33" i="28" s="1"/>
  <c r="I56" i="2"/>
  <c r="J22" i="1"/>
  <c r="D22" i="1"/>
  <c r="K15" i="15"/>
  <c r="K37" i="15" s="1"/>
  <c r="C15" i="2"/>
  <c r="D77" i="2"/>
  <c r="L62" i="2"/>
  <c r="C73" i="2"/>
  <c r="J61" i="2"/>
  <c r="C47" i="5" s="1"/>
  <c r="C47" i="24" s="1"/>
  <c r="D24" i="2"/>
  <c r="C34" i="19" s="1"/>
  <c r="F34" i="19" s="1"/>
  <c r="G65" i="2"/>
  <c r="C95" i="2" s="1"/>
  <c r="K15" i="2"/>
  <c r="I61" i="2"/>
  <c r="D47" i="5" s="1"/>
  <c r="D47" i="24" s="1"/>
  <c r="L41" i="2"/>
  <c r="B73" i="2"/>
  <c r="D65" i="2"/>
  <c r="B25" i="23"/>
  <c r="B15" i="2"/>
  <c r="B45" i="2" s="1"/>
  <c r="B67" i="2" s="1"/>
  <c r="K41" i="2"/>
  <c r="I35" i="19"/>
  <c r="K35" i="19" s="1"/>
  <c r="D15" i="2"/>
  <c r="C33" i="19" s="1"/>
  <c r="B77" i="2"/>
  <c r="B24" i="23"/>
  <c r="L24" i="2"/>
  <c r="I38" i="2"/>
  <c r="H48" i="25"/>
  <c r="J48" i="25" s="1"/>
  <c r="G37" i="15"/>
  <c r="F45" i="2"/>
  <c r="G19" i="16"/>
  <c r="L29" i="26"/>
  <c r="L19" i="26"/>
  <c r="B37" i="24"/>
  <c r="B27" i="23"/>
  <c r="B35" i="24"/>
  <c r="E48" i="25"/>
  <c r="G48" i="25" s="1"/>
  <c r="H19" i="1"/>
  <c r="B15" i="24"/>
  <c r="B15" i="5"/>
  <c r="B15" i="23" s="1"/>
  <c r="I41" i="1"/>
  <c r="H39" i="1" s="1"/>
  <c r="E19" i="1"/>
  <c r="E22" i="1"/>
  <c r="E23" i="1" s="1"/>
  <c r="G22" i="1"/>
  <c r="B74" i="2"/>
  <c r="L15" i="2"/>
  <c r="C74" i="2"/>
  <c r="G45" i="2"/>
  <c r="B19" i="1"/>
  <c r="D19" i="1" s="1"/>
  <c r="A17" i="19" s="1"/>
  <c r="C15" i="15"/>
  <c r="C37" i="15" s="1"/>
  <c r="B23" i="1"/>
  <c r="D23" i="1"/>
  <c r="D30" i="1"/>
  <c r="C16" i="19"/>
  <c r="C14" i="1"/>
  <c r="D24" i="1"/>
  <c r="J50" i="2"/>
  <c r="C26" i="5" s="1"/>
  <c r="G183" i="26"/>
  <c r="G186" i="26" s="1"/>
  <c r="M19" i="26"/>
  <c r="C24" i="2"/>
  <c r="G23" i="1"/>
  <c r="G30" i="1"/>
  <c r="E45" i="26"/>
  <c r="E65" i="26" s="1"/>
  <c r="C239" i="26"/>
  <c r="M29" i="26"/>
  <c r="E51" i="16"/>
  <c r="F42" i="31" s="1"/>
  <c r="G45" i="26"/>
  <c r="G65" i="26" s="1"/>
  <c r="J24" i="1"/>
  <c r="G24" i="1"/>
  <c r="C77" i="2"/>
  <c r="D73" i="2"/>
  <c r="C21" i="19" l="1"/>
  <c r="A21" i="19" s="1"/>
  <c r="D63" i="1"/>
  <c r="C119" i="26"/>
  <c r="J15" i="2"/>
  <c r="C17" i="24"/>
  <c r="C17" i="23"/>
  <c r="H61" i="25"/>
  <c r="J61" i="25" s="1"/>
  <c r="H36" i="25"/>
  <c r="J36" i="25" s="1"/>
  <c r="D26" i="24"/>
  <c r="D42" i="23"/>
  <c r="D48" i="5"/>
  <c r="D56" i="28"/>
  <c r="E119" i="26"/>
  <c r="D68" i="27"/>
  <c r="D69" i="27" s="1"/>
  <c r="F68" i="27"/>
  <c r="F69" i="27" s="1"/>
  <c r="E32" i="33"/>
  <c r="E19" i="25"/>
  <c r="B19" i="25"/>
  <c r="D24" i="5"/>
  <c r="H67" i="2"/>
  <c r="D93" i="2"/>
  <c r="G281" i="26"/>
  <c r="G295" i="26" s="1"/>
  <c r="C281" i="26"/>
  <c r="C295" i="26" s="1"/>
  <c r="G119" i="26"/>
  <c r="D15" i="24"/>
  <c r="D15" i="23"/>
  <c r="D94" i="2"/>
  <c r="D95" i="2"/>
  <c r="C35" i="5"/>
  <c r="C49" i="28"/>
  <c r="B84" i="2"/>
  <c r="G18" i="16"/>
  <c r="I41" i="19"/>
  <c r="C52" i="19"/>
  <c r="D37" i="5"/>
  <c r="D40" i="28"/>
  <c r="C23" i="5"/>
  <c r="C30" i="28"/>
  <c r="F49" i="27"/>
  <c r="C102" i="2"/>
  <c r="G49" i="31"/>
  <c r="G36" i="31"/>
  <c r="E45" i="32" s="1"/>
  <c r="F30" i="31"/>
  <c r="D40" i="32" s="1"/>
  <c r="F48" i="31"/>
  <c r="E28" i="31"/>
  <c r="E25" i="33"/>
  <c r="G55" i="31"/>
  <c r="G28" i="33"/>
  <c r="F28" i="31"/>
  <c r="D38" i="32" s="1"/>
  <c r="F25" i="33"/>
  <c r="E55" i="31"/>
  <c r="E28" i="33"/>
  <c r="E94" i="33" s="1" a="1"/>
  <c r="E94" i="33" s="1"/>
  <c r="I94" i="33" s="1"/>
  <c r="F55" i="31"/>
  <c r="F28" i="33"/>
  <c r="D102" i="2"/>
  <c r="D37" i="23"/>
  <c r="D23" i="5"/>
  <c r="D23" i="24" s="1"/>
  <c r="F48" i="27"/>
  <c r="G52" i="31"/>
  <c r="D92" i="2"/>
  <c r="E53" i="31"/>
  <c r="O222" i="31" s="1" a="1"/>
  <c r="O222" i="31" s="1"/>
  <c r="S222" i="31" s="1"/>
  <c r="C93" i="2"/>
  <c r="B94" i="2"/>
  <c r="E52" i="31"/>
  <c r="E222" i="31" s="1" a="1"/>
  <c r="E222" i="31" s="1"/>
  <c r="I222" i="31" s="1"/>
  <c r="B92" i="2"/>
  <c r="E27" i="31" s="1"/>
  <c r="F52" i="31"/>
  <c r="C92" i="2"/>
  <c r="F27" i="31" s="1"/>
  <c r="I15" i="2"/>
  <c r="G53" i="31"/>
  <c r="B17" i="29"/>
  <c r="E17" i="29" s="1"/>
  <c r="F53" i="31"/>
  <c r="C94" i="2"/>
  <c r="C78" i="28"/>
  <c r="D78" i="28"/>
  <c r="C89" i="2"/>
  <c r="B93" i="2"/>
  <c r="J19" i="16"/>
  <c r="G27" i="28"/>
  <c r="G28" i="28" s="1"/>
  <c r="D41" i="28"/>
  <c r="D38" i="28"/>
  <c r="N53" i="2"/>
  <c r="N54" i="2" s="1"/>
  <c r="H34" i="25"/>
  <c r="J34" i="25" s="1"/>
  <c r="D17" i="24"/>
  <c r="D17" i="23"/>
  <c r="C15" i="24"/>
  <c r="C15" i="23"/>
  <c r="C85" i="2"/>
  <c r="F36" i="31"/>
  <c r="D45" i="32" s="1"/>
  <c r="E32" i="31"/>
  <c r="C41" i="32" s="1"/>
  <c r="B83" i="2"/>
  <c r="E34" i="31"/>
  <c r="C43" i="32" s="1"/>
  <c r="C83" i="2"/>
  <c r="F34" i="31"/>
  <c r="D43" i="32" s="1"/>
  <c r="B87" i="2"/>
  <c r="E31" i="31" s="1"/>
  <c r="E30" i="31"/>
  <c r="C40" i="32" s="1"/>
  <c r="C22" i="15"/>
  <c r="C31" i="15" s="1"/>
  <c r="C40" i="15" s="1"/>
  <c r="C19" i="19"/>
  <c r="F19" i="19" s="1"/>
  <c r="H61" i="16"/>
  <c r="C22" i="32" s="1"/>
  <c r="J51" i="16"/>
  <c r="D85" i="2"/>
  <c r="C87" i="2"/>
  <c r="F31" i="31" s="1"/>
  <c r="D35" i="5"/>
  <c r="D35" i="24" s="1"/>
  <c r="D49" i="28"/>
  <c r="D25" i="5"/>
  <c r="D29" i="28"/>
  <c r="C49" i="5"/>
  <c r="C57" i="28"/>
  <c r="L47" i="2"/>
  <c r="C24" i="5" s="1"/>
  <c r="C40" i="23" s="1"/>
  <c r="C37" i="5"/>
  <c r="C37" i="24" s="1"/>
  <c r="C40" i="28"/>
  <c r="F67" i="2"/>
  <c r="F68" i="2" s="1"/>
  <c r="D49" i="5"/>
  <c r="D57" i="28"/>
  <c r="C48" i="5"/>
  <c r="C56" i="28"/>
  <c r="G67" i="2"/>
  <c r="C25" i="5"/>
  <c r="C37" i="23"/>
  <c r="D45" i="2"/>
  <c r="D49" i="27"/>
  <c r="D80" i="27" s="1"/>
  <c r="C60" i="19"/>
  <c r="I36" i="19"/>
  <c r="B42" i="23"/>
  <c r="B26" i="24"/>
  <c r="I24" i="2"/>
  <c r="J24" i="2"/>
  <c r="K22" i="15"/>
  <c r="J39" i="1"/>
  <c r="E61" i="16"/>
  <c r="G51" i="16"/>
  <c r="B24" i="24"/>
  <c r="B28" i="5"/>
  <c r="B40" i="23"/>
  <c r="B75" i="2"/>
  <c r="B76" i="2"/>
  <c r="E30" i="33" s="1"/>
  <c r="E118" i="33" s="1" a="1"/>
  <c r="E118" i="33" s="1"/>
  <c r="I118" i="33" s="1"/>
  <c r="E37" i="1"/>
  <c r="G19" i="1"/>
  <c r="H37" i="1"/>
  <c r="J19" i="1"/>
  <c r="C45" i="2"/>
  <c r="C67" i="2" s="1"/>
  <c r="C36" i="19"/>
  <c r="C42" i="19" s="1"/>
  <c r="F33" i="19"/>
  <c r="F36" i="19" s="1"/>
  <c r="C75" i="2"/>
  <c r="G22" i="15"/>
  <c r="G39" i="1"/>
  <c r="B37" i="1"/>
  <c r="D75" i="2"/>
  <c r="E74" i="2" s="1"/>
  <c r="G74" i="2" s="1"/>
  <c r="D76" i="2"/>
  <c r="G30" i="33" s="1"/>
  <c r="E77" i="2"/>
  <c r="C26" i="24"/>
  <c r="C42" i="23"/>
  <c r="C47" i="19"/>
  <c r="C50" i="19"/>
  <c r="C17" i="19"/>
  <c r="C49" i="19" s="1"/>
  <c r="C48" i="19" s="1"/>
  <c r="F48" i="19" s="1"/>
  <c r="F16" i="19"/>
  <c r="B71" i="2"/>
  <c r="B23" i="23"/>
  <c r="B33" i="24"/>
  <c r="C76" i="2"/>
  <c r="F30" i="33" s="1"/>
  <c r="C45" i="28" l="1"/>
  <c r="C33" i="5"/>
  <c r="F50" i="27"/>
  <c r="D48" i="24"/>
  <c r="D49" i="24" s="1"/>
  <c r="D38" i="23"/>
  <c r="D45" i="28"/>
  <c r="D33" i="5"/>
  <c r="I42" i="19"/>
  <c r="E34" i="25"/>
  <c r="G19" i="25"/>
  <c r="B34" i="25"/>
  <c r="D19" i="25"/>
  <c r="D24" i="24"/>
  <c r="D40" i="23"/>
  <c r="G29" i="31"/>
  <c r="E39" i="32" s="1"/>
  <c r="B22" i="29"/>
  <c r="E22" i="29" s="1"/>
  <c r="G28" i="31"/>
  <c r="E38" i="32" s="1"/>
  <c r="G25" i="33"/>
  <c r="O48" i="33" s="1" a="1"/>
  <c r="O48" i="33" s="1"/>
  <c r="S48" i="33" s="1"/>
  <c r="C25" i="23"/>
  <c r="C35" i="24"/>
  <c r="B85" i="2"/>
  <c r="E36" i="31"/>
  <c r="C45" i="32" s="1"/>
  <c r="C38" i="32"/>
  <c r="O107" i="31" a="1"/>
  <c r="O107" i="31" s="1"/>
  <c r="S107" i="31" s="1"/>
  <c r="D27" i="23"/>
  <c r="D37" i="24"/>
  <c r="D84" i="27"/>
  <c r="I73" i="27"/>
  <c r="D83" i="27"/>
  <c r="F73" i="27"/>
  <c r="C23" i="24"/>
  <c r="C39" i="23"/>
  <c r="G27" i="31"/>
  <c r="F73" i="2"/>
  <c r="F29" i="31"/>
  <c r="D39" i="32" s="1"/>
  <c r="F32" i="31"/>
  <c r="D41" i="32" s="1"/>
  <c r="E29" i="31"/>
  <c r="C39" i="32" s="1"/>
  <c r="F37" i="31"/>
  <c r="D46" i="32" s="1"/>
  <c r="E35" i="31"/>
  <c r="F35" i="31"/>
  <c r="D44" i="32" s="1"/>
  <c r="C88" i="2"/>
  <c r="G37" i="31"/>
  <c r="E46" i="32" s="1"/>
  <c r="E45" i="31"/>
  <c r="F47" i="31"/>
  <c r="G45" i="31"/>
  <c r="E32" i="32" s="1"/>
  <c r="F45" i="31"/>
  <c r="D32" i="32" s="1"/>
  <c r="D39" i="23"/>
  <c r="E51" i="31"/>
  <c r="B90" i="2"/>
  <c r="E44" i="31"/>
  <c r="C31" i="32" s="1"/>
  <c r="C28" i="5"/>
  <c r="C28" i="24" s="1"/>
  <c r="D25" i="23"/>
  <c r="H64" i="25"/>
  <c r="C24" i="24"/>
  <c r="C78" i="2"/>
  <c r="D22" i="32"/>
  <c r="A19" i="19"/>
  <c r="C51" i="19"/>
  <c r="F51" i="19" s="1"/>
  <c r="B78" i="2"/>
  <c r="J61" i="16"/>
  <c r="H68" i="16"/>
  <c r="E43" i="31" s="1"/>
  <c r="C27" i="23"/>
  <c r="C28" i="23"/>
  <c r="C38" i="24"/>
  <c r="C34" i="5"/>
  <c r="C24" i="23" s="1"/>
  <c r="C47" i="28"/>
  <c r="C50" i="5"/>
  <c r="C38" i="23"/>
  <c r="C48" i="24"/>
  <c r="C49" i="24" s="1"/>
  <c r="D25" i="24"/>
  <c r="D41" i="23"/>
  <c r="D28" i="5"/>
  <c r="D28" i="24" s="1"/>
  <c r="D34" i="5"/>
  <c r="D34" i="24" s="1"/>
  <c r="D47" i="28"/>
  <c r="C41" i="23"/>
  <c r="C25" i="24"/>
  <c r="D38" i="24"/>
  <c r="D28" i="23"/>
  <c r="D50" i="5"/>
  <c r="C18" i="19"/>
  <c r="C20" i="19" s="1"/>
  <c r="D67" i="2"/>
  <c r="D48" i="27"/>
  <c r="B28" i="24"/>
  <c r="E73" i="2"/>
  <c r="B44" i="23"/>
  <c r="G31" i="15"/>
  <c r="G40" i="15" s="1"/>
  <c r="H61" i="1"/>
  <c r="J37" i="1"/>
  <c r="K24" i="15" s="1"/>
  <c r="K38" i="15" s="1"/>
  <c r="K39" i="15" s="1"/>
  <c r="E68" i="16"/>
  <c r="F43" i="31" s="1"/>
  <c r="G61" i="16"/>
  <c r="F61" i="16"/>
  <c r="I16" i="19"/>
  <c r="F17" i="19"/>
  <c r="F49" i="19" s="1"/>
  <c r="F39" i="19" s="1"/>
  <c r="E39" i="19" s="1"/>
  <c r="E76" i="19" s="1"/>
  <c r="F38" i="19"/>
  <c r="E38" i="19" s="1"/>
  <c r="E75" i="19" s="1"/>
  <c r="C59" i="19"/>
  <c r="F59" i="19" s="1"/>
  <c r="F21" i="19" s="1"/>
  <c r="I24" i="19" s="1"/>
  <c r="K31" i="15"/>
  <c r="K40" i="15" s="1"/>
  <c r="B61" i="1"/>
  <c r="D37" i="1"/>
  <c r="C24" i="15" s="1"/>
  <c r="C71" i="2"/>
  <c r="G68" i="2"/>
  <c r="G37" i="1"/>
  <c r="E61" i="1"/>
  <c r="C53" i="28" l="1"/>
  <c r="C23" i="23"/>
  <c r="C33" i="24"/>
  <c r="D53" i="28"/>
  <c r="D33" i="24"/>
  <c r="D23" i="23"/>
  <c r="J64" i="25"/>
  <c r="H72" i="25"/>
  <c r="G34" i="25"/>
  <c r="E64" i="25"/>
  <c r="D34" i="25"/>
  <c r="B64" i="25"/>
  <c r="E37" i="31"/>
  <c r="B88" i="2"/>
  <c r="G73" i="2"/>
  <c r="G75" i="2" s="1"/>
  <c r="I49" i="27" s="1"/>
  <c r="C44" i="32"/>
  <c r="F38" i="31"/>
  <c r="F26" i="33"/>
  <c r="C32" i="32"/>
  <c r="O85" i="31" a="1"/>
  <c r="O85" i="31" s="1"/>
  <c r="S85" i="31" s="1"/>
  <c r="E33" i="31"/>
  <c r="C42" i="32" s="1"/>
  <c r="F56" i="31"/>
  <c r="D44" i="23"/>
  <c r="D24" i="23"/>
  <c r="C44" i="23"/>
  <c r="F51" i="31"/>
  <c r="C98" i="2"/>
  <c r="C90" i="2"/>
  <c r="F44" i="31"/>
  <c r="D31" i="32" s="1"/>
  <c r="G47" i="31"/>
  <c r="B23" i="29"/>
  <c r="E23" i="29" s="1"/>
  <c r="A18" i="19"/>
  <c r="C34" i="24"/>
  <c r="E56" i="31"/>
  <c r="C79" i="2"/>
  <c r="B79" i="2"/>
  <c r="H84" i="16"/>
  <c r="J68" i="16"/>
  <c r="J74" i="16"/>
  <c r="K25" i="15"/>
  <c r="K26" i="15" s="1"/>
  <c r="G24" i="15"/>
  <c r="D50" i="27"/>
  <c r="D79" i="27"/>
  <c r="I47" i="27"/>
  <c r="D71" i="2"/>
  <c r="H68" i="2"/>
  <c r="F50" i="19"/>
  <c r="F18" i="19"/>
  <c r="F20" i="19" s="1"/>
  <c r="G20" i="19" s="1"/>
  <c r="B65" i="19" s="1"/>
  <c r="G61" i="1"/>
  <c r="E69" i="1"/>
  <c r="G16" i="15"/>
  <c r="B69" i="1"/>
  <c r="C16" i="15"/>
  <c r="D61" i="1"/>
  <c r="C23" i="19"/>
  <c r="A20" i="19"/>
  <c r="G68" i="16"/>
  <c r="C81" i="2" s="1"/>
  <c r="F68" i="16"/>
  <c r="E84" i="16"/>
  <c r="G74" i="16"/>
  <c r="F78" i="2"/>
  <c r="K41" i="15"/>
  <c r="K16" i="15"/>
  <c r="J61" i="1"/>
  <c r="H69" i="1"/>
  <c r="J72" i="25" l="1"/>
  <c r="H77" i="25"/>
  <c r="J77" i="25" s="1"/>
  <c r="C46" i="32"/>
  <c r="E176" i="31" a="1"/>
  <c r="E176" i="31" s="1"/>
  <c r="I176" i="31" s="1"/>
  <c r="E38" i="31"/>
  <c r="E26" i="33"/>
  <c r="E72" i="25"/>
  <c r="G64" i="25"/>
  <c r="B72" i="25"/>
  <c r="D64" i="25"/>
  <c r="F50" i="31"/>
  <c r="F33" i="31"/>
  <c r="D42" i="32" s="1"/>
  <c r="D27" i="32"/>
  <c r="G51" i="31"/>
  <c r="D98" i="2"/>
  <c r="G44" i="31"/>
  <c r="E31" i="32" s="1"/>
  <c r="E24" i="31"/>
  <c r="C25" i="32"/>
  <c r="F24" i="31"/>
  <c r="D25" i="32"/>
  <c r="F54" i="31"/>
  <c r="C91" i="2"/>
  <c r="F26" i="31"/>
  <c r="E54" i="31"/>
  <c r="K28" i="15"/>
  <c r="K29" i="15" s="1"/>
  <c r="K30" i="15" s="1"/>
  <c r="K32" i="15" s="1"/>
  <c r="K33" i="15"/>
  <c r="J35" i="15" s="1"/>
  <c r="B81" i="2"/>
  <c r="H88" i="16"/>
  <c r="I86" i="16"/>
  <c r="J84" i="16"/>
  <c r="H90" i="16"/>
  <c r="D81" i="27"/>
  <c r="B79" i="27" s="1"/>
  <c r="B90" i="27"/>
  <c r="G25" i="15"/>
  <c r="G33" i="15" s="1"/>
  <c r="F35" i="15" s="1"/>
  <c r="G38" i="15"/>
  <c r="G39" i="15" s="1"/>
  <c r="G41" i="15" s="1"/>
  <c r="G42" i="15" s="1"/>
  <c r="C55" i="19"/>
  <c r="E71" i="2"/>
  <c r="E70" i="2" s="1"/>
  <c r="F23" i="19"/>
  <c r="D72" i="1"/>
  <c r="B74" i="1"/>
  <c r="D74" i="1" s="1"/>
  <c r="D69" i="1"/>
  <c r="C77" i="1"/>
  <c r="L41" i="15"/>
  <c r="C25" i="19"/>
  <c r="C26" i="19" s="1"/>
  <c r="E74" i="1"/>
  <c r="G74" i="1" s="1"/>
  <c r="G69" i="1"/>
  <c r="J72" i="1"/>
  <c r="H74" i="1"/>
  <c r="J74" i="1" s="1"/>
  <c r="J69" i="1"/>
  <c r="E88" i="16"/>
  <c r="E90" i="16"/>
  <c r="F84" i="16"/>
  <c r="F86" i="16"/>
  <c r="G84" i="16"/>
  <c r="G72" i="25" l="1"/>
  <c r="E77" i="25"/>
  <c r="G77" i="25" s="1"/>
  <c r="B77" i="25"/>
  <c r="D77" i="25" s="1"/>
  <c r="D72" i="25"/>
  <c r="G50" i="31"/>
  <c r="C27" i="32"/>
  <c r="B91" i="2"/>
  <c r="E26" i="31"/>
  <c r="G26" i="15"/>
  <c r="G28" i="15"/>
  <c r="G29" i="15" s="1"/>
  <c r="G30" i="15" s="1"/>
  <c r="G32" i="15" s="1"/>
  <c r="B80" i="2"/>
  <c r="J88" i="16"/>
  <c r="B14" i="24"/>
  <c r="B19" i="24" s="1"/>
  <c r="B30" i="24" s="1"/>
  <c r="B14" i="5"/>
  <c r="C80" i="2"/>
  <c r="C14" i="28"/>
  <c r="D82" i="27"/>
  <c r="B80" i="27"/>
  <c r="H41" i="15"/>
  <c r="C56" i="19"/>
  <c r="C57" i="19"/>
  <c r="I25" i="19"/>
  <c r="A26" i="19"/>
  <c r="C58" i="19"/>
  <c r="B36" i="24"/>
  <c r="B41" i="24" s="1"/>
  <c r="B26" i="23"/>
  <c r="B31" i="23" s="1"/>
  <c r="B41" i="5"/>
  <c r="C14" i="5"/>
  <c r="F88" i="16"/>
  <c r="G88" i="16"/>
  <c r="E25" i="31" l="1"/>
  <c r="C26" i="32"/>
  <c r="F25" i="31"/>
  <c r="D26" i="32"/>
  <c r="B43" i="24"/>
  <c r="C19" i="28"/>
  <c r="C27" i="28" s="1"/>
  <c r="C35" i="28" s="1"/>
  <c r="C42" i="28" s="1"/>
  <c r="C61" i="28"/>
  <c r="C62" i="28" s="1"/>
  <c r="B19" i="5"/>
  <c r="B14" i="23"/>
  <c r="B19" i="23" s="1"/>
  <c r="B33" i="23" s="1"/>
  <c r="E81" i="27"/>
  <c r="F81" i="27"/>
  <c r="G81" i="27"/>
  <c r="H81" i="27"/>
  <c r="C14" i="24"/>
  <c r="C19" i="5"/>
  <c r="C14" i="23"/>
  <c r="C19" i="23" s="1"/>
  <c r="C36" i="5"/>
  <c r="B30" i="5" l="1"/>
  <c r="B43" i="5" s="1"/>
  <c r="E39" i="31"/>
  <c r="E27" i="33"/>
  <c r="F39" i="31"/>
  <c r="F27" i="33"/>
  <c r="C63" i="28"/>
  <c r="H80" i="27"/>
  <c r="H79" i="27"/>
  <c r="H82" i="27"/>
  <c r="H90" i="27"/>
  <c r="H91" i="27" s="1"/>
  <c r="H94" i="27" s="1"/>
  <c r="H95" i="27" s="1"/>
  <c r="H96" i="27" s="1"/>
  <c r="F90" i="27"/>
  <c r="F91" i="27" s="1"/>
  <c r="F94" i="27" s="1"/>
  <c r="F82" i="27"/>
  <c r="F79" i="27"/>
  <c r="F80" i="27"/>
  <c r="G80" i="27"/>
  <c r="G82" i="27"/>
  <c r="G79" i="27"/>
  <c r="G90" i="27"/>
  <c r="G91" i="27" s="1"/>
  <c r="G94" i="27" s="1"/>
  <c r="G95" i="27" s="1"/>
  <c r="G96" i="27" s="1"/>
  <c r="E82" i="27"/>
  <c r="E80" i="27"/>
  <c r="E79" i="27"/>
  <c r="E90" i="27"/>
  <c r="E91" i="27" s="1"/>
  <c r="E94" i="27" s="1"/>
  <c r="C30" i="5"/>
  <c r="C19" i="24"/>
  <c r="C26" i="23"/>
  <c r="C31" i="23" s="1"/>
  <c r="C33" i="23" s="1"/>
  <c r="C36" i="24"/>
  <c r="C41" i="24" s="1"/>
  <c r="C41" i="5"/>
  <c r="E95" i="27" l="1"/>
  <c r="E96" i="27" s="1"/>
  <c r="E84" i="27" s="1"/>
  <c r="F95" i="27"/>
  <c r="F96" i="27" s="1"/>
  <c r="C43" i="5"/>
  <c r="C30" i="24"/>
  <c r="C43" i="24" s="1"/>
  <c r="E83" i="27" l="1"/>
  <c r="F84" i="27"/>
  <c r="B14" i="16"/>
  <c r="G31" i="33" l="1"/>
  <c r="G29" i="33"/>
  <c r="O94" i="33" s="1" a="1"/>
  <c r="O94" i="33" s="1"/>
  <c r="S94" i="33" s="1"/>
  <c r="E17" i="32"/>
  <c r="G40" i="31"/>
  <c r="G41" i="31"/>
  <c r="O129" i="31" s="1" a="1"/>
  <c r="O129" i="31" s="1"/>
  <c r="S129" i="31" s="1"/>
  <c r="D35" i="16"/>
  <c r="D49" i="16"/>
  <c r="D43" i="16"/>
  <c r="D86" i="2"/>
  <c r="D96" i="2"/>
  <c r="D90" i="2"/>
  <c r="D82" i="2"/>
  <c r="D89" i="2"/>
  <c r="B19" i="29"/>
  <c r="E19" i="29" s="1"/>
  <c r="D26" i="16"/>
  <c r="D27" i="16"/>
  <c r="D29" i="16"/>
  <c r="D22" i="16"/>
  <c r="D30" i="16"/>
  <c r="D23" i="16"/>
  <c r="D31" i="16"/>
  <c r="D24" i="16"/>
  <c r="D32" i="16"/>
  <c r="D25" i="16"/>
  <c r="D33" i="16"/>
  <c r="D28" i="16"/>
  <c r="D70" i="16"/>
  <c r="D44" i="16"/>
  <c r="D19" i="16"/>
  <c r="J17" i="19" s="1"/>
  <c r="I17" i="19" s="1"/>
  <c r="K38" i="19" s="1"/>
  <c r="J38" i="19" s="1"/>
  <c r="D77" i="16"/>
  <c r="D37" i="16"/>
  <c r="D40" i="16"/>
  <c r="D20" i="16"/>
  <c r="D63" i="16"/>
  <c r="D48" i="16"/>
  <c r="D38" i="16"/>
  <c r="D36" i="16"/>
  <c r="D46" i="16"/>
  <c r="D53" i="16"/>
  <c r="J19" i="19" s="1"/>
  <c r="I19" i="19" s="1"/>
  <c r="D41" i="16"/>
  <c r="F83" i="27"/>
  <c r="G84" i="27"/>
  <c r="D14" i="16"/>
  <c r="D53" i="27"/>
  <c r="D55" i="27" s="1"/>
  <c r="D57" i="27" s="1"/>
  <c r="B51" i="16"/>
  <c r="G42" i="31" s="1"/>
  <c r="E151" i="31" s="1" a="1"/>
  <c r="E151" i="31" s="1"/>
  <c r="I151" i="31" s="1"/>
  <c r="D47" i="16"/>
  <c r="D21" i="16"/>
  <c r="D42" i="16"/>
  <c r="D39" i="16"/>
  <c r="D34" i="16"/>
  <c r="D50" i="16"/>
  <c r="D45" i="16"/>
  <c r="O118" i="33" l="1" a="1"/>
  <c r="O118" i="33" s="1"/>
  <c r="S118" i="33" s="1"/>
  <c r="G32" i="33"/>
  <c r="E142" i="33" s="1" a="1"/>
  <c r="E142" i="33" s="1"/>
  <c r="I142" i="33" s="1"/>
  <c r="G48" i="31"/>
  <c r="O199" i="31" s="1" a="1"/>
  <c r="O199" i="31" s="1"/>
  <c r="S199" i="31" s="1"/>
  <c r="G33" i="31"/>
  <c r="E42" i="32" s="1"/>
  <c r="D87" i="2"/>
  <c r="G31" i="31" s="1"/>
  <c r="O176" i="31" s="1" a="1"/>
  <c r="O176" i="31" s="1"/>
  <c r="S176" i="31" s="1"/>
  <c r="G30" i="31"/>
  <c r="E40" i="32" s="1"/>
  <c r="G32" i="31"/>
  <c r="E41" i="32" s="1"/>
  <c r="D83" i="2"/>
  <c r="G34" i="31"/>
  <c r="E43" i="32" s="1"/>
  <c r="I18" i="19"/>
  <c r="I20" i="19" s="1"/>
  <c r="K37" i="19"/>
  <c r="K41" i="19" s="1"/>
  <c r="G83" i="27"/>
  <c r="H84" i="27"/>
  <c r="H83" i="27" s="1"/>
  <c r="B61" i="16"/>
  <c r="D51" i="16"/>
  <c r="E61" i="27"/>
  <c r="I68" i="27" s="1"/>
  <c r="D60" i="27"/>
  <c r="D62" i="27" s="1"/>
  <c r="D67" i="27" s="1"/>
  <c r="D70" i="27" s="1"/>
  <c r="D72" i="27" s="1"/>
  <c r="D74" i="27" s="1"/>
  <c r="E22" i="32" l="1"/>
  <c r="C103" i="2"/>
  <c r="G35" i="31"/>
  <c r="D88" i="2"/>
  <c r="C45" i="19"/>
  <c r="F37" i="19" s="1"/>
  <c r="J18" i="19"/>
  <c r="J37" i="19"/>
  <c r="E77" i="19" s="1"/>
  <c r="D78" i="2"/>
  <c r="G18" i="29"/>
  <c r="J20" i="19"/>
  <c r="I23" i="19"/>
  <c r="J23" i="19" s="1"/>
  <c r="F67" i="27"/>
  <c r="F70" i="27" s="1"/>
  <c r="F72" i="27" s="1"/>
  <c r="F74" i="27" s="1"/>
  <c r="B68" i="16"/>
  <c r="D61" i="16"/>
  <c r="C61" i="16"/>
  <c r="I67" i="27"/>
  <c r="I69" i="27" s="1"/>
  <c r="I70" i="27" s="1"/>
  <c r="I74" i="27" s="1"/>
  <c r="I75" i="27" s="1"/>
  <c r="E44" i="32" l="1"/>
  <c r="O151" i="31" a="1"/>
  <c r="O151" i="31" s="1"/>
  <c r="S151" i="31" s="1"/>
  <c r="G38" i="31"/>
  <c r="E199" i="31" s="1" a="1"/>
  <c r="E199" i="31" s="1"/>
  <c r="I199" i="31" s="1"/>
  <c r="G26" i="33"/>
  <c r="E72" i="33" s="1" a="1"/>
  <c r="E72" i="33" s="1"/>
  <c r="I72" i="33" s="1"/>
  <c r="G43" i="31"/>
  <c r="C104" i="2"/>
  <c r="C105" i="2" s="1"/>
  <c r="B94" i="16"/>
  <c r="G56" i="31"/>
  <c r="E107" i="31" s="1" a="1"/>
  <c r="E107" i="31" s="1"/>
  <c r="I107" i="31" s="1"/>
  <c r="F45" i="19"/>
  <c r="D79" i="2"/>
  <c r="B21" i="29"/>
  <c r="E21" i="29" s="1"/>
  <c r="G21" i="29"/>
  <c r="D68" i="16"/>
  <c r="D81" i="2" s="1"/>
  <c r="D74" i="16"/>
  <c r="B84" i="16"/>
  <c r="C68" i="16"/>
  <c r="C70" i="16"/>
  <c r="C69" i="16" s="1"/>
  <c r="E37" i="19"/>
  <c r="E74" i="19" s="1"/>
  <c r="E79" i="19" s="1"/>
  <c r="F46" i="19"/>
  <c r="E27" i="32" l="1"/>
  <c r="G24" i="31"/>
  <c r="E61" i="31" s="1" a="1"/>
  <c r="E61" i="31" s="1"/>
  <c r="I61" i="31" s="1"/>
  <c r="E25" i="32"/>
  <c r="G54" i="31"/>
  <c r="D91" i="2"/>
  <c r="G26" i="31"/>
  <c r="E85" i="31" s="1" a="1"/>
  <c r="E85" i="31" s="1"/>
  <c r="I85" i="31" s="1"/>
  <c r="B90" i="16"/>
  <c r="C24" i="19" s="1"/>
  <c r="F25" i="19" s="1"/>
  <c r="F26" i="19" s="1"/>
  <c r="C84" i="16"/>
  <c r="C86" i="16"/>
  <c r="D84" i="16"/>
  <c r="B88" i="16"/>
  <c r="D80" i="2" l="1"/>
  <c r="D14" i="28"/>
  <c r="D88" i="16"/>
  <c r="C88" i="16"/>
  <c r="D14" i="5"/>
  <c r="K33" i="19"/>
  <c r="F58" i="19" s="1"/>
  <c r="G26" i="19"/>
  <c r="I26" i="19"/>
  <c r="G25" i="31" l="1"/>
  <c r="O61" i="31" s="1" a="1"/>
  <c r="O61" i="31" s="1"/>
  <c r="S61" i="31" s="1"/>
  <c r="E26" i="32"/>
  <c r="D19" i="28"/>
  <c r="D27" i="28" s="1"/>
  <c r="D35" i="28" s="1"/>
  <c r="D42" i="28" s="1"/>
  <c r="D61" i="28"/>
  <c r="D62" i="28" s="1"/>
  <c r="D36" i="5"/>
  <c r="D19" i="5"/>
  <c r="D14" i="23"/>
  <c r="D19" i="23" s="1"/>
  <c r="D14" i="24"/>
  <c r="E68" i="19"/>
  <c r="E72" i="19" s="1"/>
  <c r="J26" i="19"/>
  <c r="J33" i="19"/>
  <c r="F60" i="19"/>
  <c r="K36" i="19"/>
  <c r="K42" i="19" s="1"/>
  <c r="G39" i="31" l="1"/>
  <c r="E129" i="31" s="1" a="1"/>
  <c r="E129" i="31" s="1"/>
  <c r="I129" i="31" s="1"/>
  <c r="G27" i="33"/>
  <c r="O72" i="33" s="1" a="1"/>
  <c r="O72" i="33" s="1"/>
  <c r="S72" i="33" s="1"/>
  <c r="D63" i="28"/>
  <c r="F27" i="28"/>
  <c r="F28" i="28" s="1"/>
  <c r="B18" i="29"/>
  <c r="E18" i="29" s="1"/>
  <c r="F79" i="19"/>
  <c r="E83" i="19"/>
  <c r="E86" i="19" s="1"/>
  <c r="E88" i="19" s="1"/>
  <c r="E40" i="19" s="1"/>
  <c r="F40" i="19" s="1"/>
  <c r="F41" i="19" s="1"/>
  <c r="F42" i="19" s="1"/>
  <c r="F55" i="19" s="1"/>
  <c r="D19" i="24"/>
  <c r="D30" i="5"/>
  <c r="F42" i="28" s="1"/>
  <c r="G42" i="28" s="1"/>
  <c r="D36" i="24"/>
  <c r="D41" i="24" s="1"/>
  <c r="D41" i="5"/>
  <c r="F62" i="28" s="1"/>
  <c r="G62" i="28" s="1"/>
  <c r="D26" i="23"/>
  <c r="D31" i="23" s="1"/>
  <c r="D33" i="23" s="1"/>
  <c r="F57" i="19" l="1"/>
  <c r="F56" i="19"/>
  <c r="C65" i="19" s="1"/>
  <c r="E65" i="19" s="1"/>
  <c r="D43" i="5"/>
  <c r="D30" i="24"/>
  <c r="D43" i="24" s="1"/>
  <c r="C25" i="15" l="1"/>
  <c r="C38" i="15"/>
  <c r="C39" i="15" s="1"/>
  <c r="C41" i="15" s="1"/>
  <c r="D41" i="15" s="1"/>
  <c r="C42" i="15" s="1"/>
  <c r="C26" i="15" l="1"/>
  <c r="A47" i="15"/>
  <c r="C33" i="15"/>
  <c r="B35" i="15" s="1"/>
  <c r="C28" i="15"/>
  <c r="C29" i="15" s="1"/>
  <c r="C30" i="15" s="1"/>
  <c r="C32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<sst xmlns="http://schemas.openxmlformats.org/spreadsheetml/2006/main" count="1712" uniqueCount="747">
  <si>
    <t>Consulenze amministrative</t>
  </si>
  <si>
    <t>Compensi agli amministratori</t>
  </si>
  <si>
    <t>Oneri su compensi amministratori</t>
  </si>
  <si>
    <t>Compensi ai sindaci</t>
  </si>
  <si>
    <t>Ricerca, addestramento e formazione</t>
  </si>
  <si>
    <t>Consulenze tecniche, spese di analisi e prove di laboratorio</t>
  </si>
  <si>
    <t>Pulizia esterna</t>
  </si>
  <si>
    <t>Servizi commerciali</t>
  </si>
  <si>
    <t>Provvigioni a intermediari</t>
  </si>
  <si>
    <t>Indennità agenti scioglimento rapporto</t>
  </si>
  <si>
    <t>Servizio agenzie lavoro interinale</t>
  </si>
  <si>
    <t>Consulenze commerciali</t>
  </si>
  <si>
    <t>Mostre e fiere</t>
  </si>
  <si>
    <t>Spese di rappresentanza e promozionali</t>
  </si>
  <si>
    <t xml:space="preserve">Assicurazioni diverse                                     </t>
  </si>
  <si>
    <t xml:space="preserve">Assicurazione automezzi                                               </t>
  </si>
  <si>
    <t>Associazioni e pubblicazioni</t>
  </si>
  <si>
    <t>RO/RICAVI</t>
  </si>
  <si>
    <t>TOT MP+DEBITI LUNGO</t>
  </si>
  <si>
    <t>ROTAZIONE DEBITI A BREVE</t>
  </si>
  <si>
    <t>TOT PASSIVO CORRENTE</t>
  </si>
  <si>
    <t>TOT ATTIVO CORRENTE</t>
  </si>
  <si>
    <t>TOT ATTIVO</t>
  </si>
  <si>
    <t>TOT PASSIVO</t>
  </si>
  <si>
    <t>AMMORTAMENTO IMM MATERIALI</t>
  </si>
  <si>
    <t>AMMORTAMENTO IMM IMMATERIALI</t>
  </si>
  <si>
    <t>Impianto e ampliamento</t>
  </si>
  <si>
    <t>Ricerca, sviluppo e pubbl</t>
  </si>
  <si>
    <t>Diritti brevetti industriali</t>
  </si>
  <si>
    <t>Concessioni, licenze, ma</t>
  </si>
  <si>
    <t>Altre</t>
  </si>
  <si>
    <t>f.do amm</t>
  </si>
  <si>
    <t>Terreni e fabbricati</t>
  </si>
  <si>
    <t>Impianti e macchinario</t>
  </si>
  <si>
    <t>altri beni</t>
  </si>
  <si>
    <t>Attrezzature industriali e commerciali</t>
  </si>
  <si>
    <t>Istituti di previdenza</t>
  </si>
  <si>
    <t>altri debiti</t>
  </si>
  <si>
    <t>Materie prime, sussidiarie e merci</t>
  </si>
  <si>
    <t>Godimento di beni di terzi</t>
  </si>
  <si>
    <t>Salari e stipendi</t>
  </si>
  <si>
    <t>Oneri sociali</t>
  </si>
  <si>
    <t>Trattamento di fine rapporto</t>
  </si>
  <si>
    <t>Altri costi</t>
  </si>
  <si>
    <t>LIQUIDITA'</t>
  </si>
  <si>
    <t xml:space="preserve">TOTALE ATTIVO </t>
  </si>
  <si>
    <t>FLUSSO DI CCN</t>
  </si>
  <si>
    <t>DEBITI FINANZIARI</t>
  </si>
  <si>
    <t>DEBITI A LUNGO</t>
  </si>
  <si>
    <t>FLUSSO DI CASSA DEGLI IMMOBILIZZI</t>
  </si>
  <si>
    <t>TOT FLUSSO DI CASSA</t>
  </si>
  <si>
    <t>INTERESSI PASSIVI/REDDITO OPERATIVO</t>
  </si>
  <si>
    <t>CRESCITA</t>
  </si>
  <si>
    <t>crescita investimenti</t>
  </si>
  <si>
    <t>ROTAZIONE CAPITALE INVESTITO</t>
  </si>
  <si>
    <t>REDDITO OPERATIVO PROCAPITE</t>
  </si>
  <si>
    <t>RO/PROCAPITE</t>
  </si>
  <si>
    <t>TFR</t>
  </si>
  <si>
    <t>PROVENTI E ONERI DIVERSI</t>
  </si>
  <si>
    <t>REDDITO OPERATIVO</t>
  </si>
  <si>
    <t>reddito operativo</t>
  </si>
  <si>
    <t>impieghi</t>
  </si>
  <si>
    <t>Ammortamento delle Attività materiali</t>
  </si>
  <si>
    <t>RICAVI / CAP INVEST</t>
  </si>
  <si>
    <t>giorni magazzino</t>
  </si>
  <si>
    <t>ricavi</t>
  </si>
  <si>
    <t>Ammortamento delle Attività immateriali</t>
  </si>
  <si>
    <t>Altri proventi operativi</t>
  </si>
  <si>
    <t>VENDITE E PRESTAZIONI</t>
  </si>
  <si>
    <t>TOTALE PASSIVO CORRENTE</t>
  </si>
  <si>
    <t>TOTALE PASSIVO</t>
  </si>
  <si>
    <t>OF/DEBITI</t>
  </si>
  <si>
    <t>Crediti Commerciali</t>
  </si>
  <si>
    <t>Altri crediti</t>
  </si>
  <si>
    <t>Altre attività finanziarie</t>
  </si>
  <si>
    <t>altri crediti</t>
  </si>
  <si>
    <t>TOTALE IMMOBILIZZI</t>
  </si>
  <si>
    <t>debiti</t>
  </si>
  <si>
    <t>Altre spese di produzione e spese varie</t>
  </si>
  <si>
    <t>minusvalenze</t>
  </si>
  <si>
    <t>Immobilizzazioni in corso acconti</t>
  </si>
  <si>
    <t>Fornitori</t>
  </si>
  <si>
    <t>COSTO INDUSTRIALE</t>
  </si>
  <si>
    <t>SPESE COMMERCIALI</t>
  </si>
  <si>
    <t>compensi amministratori</t>
  </si>
  <si>
    <t>rimborsi a pie' lista</t>
  </si>
  <si>
    <t>SPESE GENERALI E AMMINISTRATIVE</t>
  </si>
  <si>
    <t>MARGINE INDUSTRIALE</t>
  </si>
  <si>
    <t>COSTI COMMERCIALI E AMMINISTRATIVI</t>
  </si>
  <si>
    <t>costo</t>
  </si>
  <si>
    <t>crescita mp</t>
  </si>
  <si>
    <t>IRES  C/ IMPOSTE</t>
  </si>
  <si>
    <t>RICAVI/COSTO PERSONALE</t>
  </si>
  <si>
    <t>CASSA E BANCHE ATTIVE</t>
  </si>
  <si>
    <t>BANCHE PASSIVE</t>
  </si>
  <si>
    <t>UTILE ANTE IMPOSTE</t>
  </si>
  <si>
    <t xml:space="preserve"> IMPOSTE</t>
  </si>
  <si>
    <t>ROTAZIONE MAGAZZINO</t>
  </si>
  <si>
    <t>RICAVI /MAGAZZINO</t>
  </si>
  <si>
    <t>MARGINE DI CONTRIBUZIONE</t>
  </si>
  <si>
    <t>TEMPI DI GIACENZA</t>
  </si>
  <si>
    <t>CONSUMO GIORNALIERO</t>
  </si>
  <si>
    <t>posizione finanziaria</t>
  </si>
  <si>
    <t>VARIAZIONE FATTURATO</t>
  </si>
  <si>
    <t>AMMORTAMENTI MATERIALI</t>
  </si>
  <si>
    <t>AMMORTAMENTI IMMATERIALI</t>
  </si>
  <si>
    <t>ROTAZIONE ALTRI CREDITI</t>
  </si>
  <si>
    <t>CREDITI</t>
  </si>
  <si>
    <t>DURATA MEDIA CREDITI</t>
  </si>
  <si>
    <t>INSOLUTI</t>
  </si>
  <si>
    <t>Variazione rimanenze materie prime</t>
  </si>
  <si>
    <t>Oneri diversi di gestione</t>
  </si>
  <si>
    <t>proventi diversi</t>
  </si>
  <si>
    <t>utile/perdita su cambi</t>
  </si>
  <si>
    <t>irap</t>
  </si>
  <si>
    <t>Viaggi</t>
  </si>
  <si>
    <t>Pubblicità</t>
  </si>
  <si>
    <t>Rimborsi chilometrici</t>
  </si>
  <si>
    <t xml:space="preserve">Trasporti per consegna merci </t>
  </si>
  <si>
    <t>Energia elettrica</t>
  </si>
  <si>
    <t>Gas e riscaldamento</t>
  </si>
  <si>
    <t>Spese telefoniche e postali</t>
  </si>
  <si>
    <t>Rimborsi a piè di lista al personale</t>
  </si>
  <si>
    <t>Manutenzione macchinari e impianti</t>
  </si>
  <si>
    <t>Canoni di manutenzione macchine d’ufficio</t>
  </si>
  <si>
    <t>INDICE DI DISPONIBILITA'</t>
  </si>
  <si>
    <t>ATT CORR/PASS CORR</t>
  </si>
  <si>
    <t>ROTAZIONE ATT CORR</t>
  </si>
  <si>
    <t>costi variabili</t>
  </si>
  <si>
    <t>RICAVI /ATT CORR</t>
  </si>
  <si>
    <t>mezzi propri</t>
  </si>
  <si>
    <t>DEBITI A MEDIO/LUNGO</t>
  </si>
  <si>
    <t>VARIAZIONE CAPITALE INVESTITO</t>
  </si>
  <si>
    <t>TOTALE MEZZI PROPRI E DEBITI A LUNGO</t>
  </si>
  <si>
    <t>DEBITI A BREVE</t>
  </si>
  <si>
    <t>punto di pareggio</t>
  </si>
  <si>
    <t>fatturato</t>
  </si>
  <si>
    <t>UTILE NETTO</t>
  </si>
  <si>
    <t xml:space="preserve">ROTAZIONE DEL CAPITALE </t>
  </si>
  <si>
    <t>capitale investito</t>
  </si>
  <si>
    <t>UTILE/MEZZI PROPRI</t>
  </si>
  <si>
    <t>MEZZI PROPRI</t>
  </si>
  <si>
    <t>RENDIMENTO PERSONALE</t>
  </si>
  <si>
    <t>Debiti tributari</t>
  </si>
  <si>
    <t>FLUSSO DI CAPITALE CIRCOLANTE NETTO</t>
  </si>
  <si>
    <t>DATI DI PARTENZA</t>
  </si>
  <si>
    <t>%</t>
  </si>
  <si>
    <t>CREDITI VERSO CLIENTI</t>
  </si>
  <si>
    <t>CAPITALE INVESTITO</t>
  </si>
  <si>
    <t>ROI</t>
  </si>
  <si>
    <t>ROE</t>
  </si>
  <si>
    <t>depositi cauzionali</t>
  </si>
  <si>
    <t>Vuoti/imballi/scorte</t>
  </si>
  <si>
    <t xml:space="preserve">Vino sfuso </t>
  </si>
  <si>
    <t>Vino imbottigliato</t>
  </si>
  <si>
    <t>Grappe</t>
  </si>
  <si>
    <t>Crediti tributari</t>
  </si>
  <si>
    <t>imposte anticipate</t>
  </si>
  <si>
    <t>crediti fiscali</t>
  </si>
  <si>
    <t>ratei e risconti</t>
  </si>
  <si>
    <t>Denaro e altri valori in cassa</t>
  </si>
  <si>
    <t>depositi bancari e postali</t>
  </si>
  <si>
    <t>riserva sovrapprezzo azioni</t>
  </si>
  <si>
    <t>riserva di rivalutazione</t>
  </si>
  <si>
    <t>altre riserve</t>
  </si>
  <si>
    <t>utili a nuovo</t>
  </si>
  <si>
    <t>riserva legale</t>
  </si>
  <si>
    <t>Fondo rischi e oneri</t>
  </si>
  <si>
    <t>Tfr</t>
  </si>
  <si>
    <t>Banche</t>
  </si>
  <si>
    <t>acconti</t>
  </si>
  <si>
    <t>Debiti costituiti da titoli di credito</t>
  </si>
  <si>
    <t>ROD</t>
  </si>
  <si>
    <t>rotazione del credito</t>
  </si>
  <si>
    <t>gg credito</t>
  </si>
  <si>
    <t>WHAT IF</t>
  </si>
  <si>
    <t xml:space="preserve">VARIAZIONE </t>
  </si>
  <si>
    <t>FATTURATO</t>
  </si>
  <si>
    <t>ROS</t>
  </si>
  <si>
    <t>VARIAZIONE MEZZI PROPRI</t>
  </si>
  <si>
    <t>TOTALE ATTIVO CIRCOLANTE</t>
  </si>
  <si>
    <t>ALTRI CREDITI</t>
  </si>
  <si>
    <t>tax rate</t>
  </si>
  <si>
    <t>MAGAZZINO</t>
  </si>
  <si>
    <t>COSTI FISSI</t>
  </si>
  <si>
    <t>COSTI VARIABILI</t>
  </si>
  <si>
    <t>SPESE GENERALI</t>
  </si>
  <si>
    <t>mezzi terzi/mezzi propri</t>
  </si>
  <si>
    <t>CONTO ECONOMICO PREVISIONALE</t>
  </si>
  <si>
    <t>CONTO ECONOMICO VA PREVISIONALE</t>
  </si>
  <si>
    <t>REDDITIVITA'</t>
  </si>
  <si>
    <t>REDDITIVITA' INVESTIMENTI ROI</t>
  </si>
  <si>
    <t>FONDO IMPOSTE</t>
  </si>
  <si>
    <t>DEBITI A MEDIO LUNGO</t>
  </si>
  <si>
    <t>PASSIVO PATRIMONIALE</t>
  </si>
  <si>
    <t>DIVIDENDO/AUMENTO CAPITALE</t>
  </si>
  <si>
    <t>ROTAZIONE CAP INVEST</t>
  </si>
  <si>
    <t>PATRIMONIO NETTO</t>
  </si>
  <si>
    <t>Ricavi Netti</t>
  </si>
  <si>
    <t>RO/CAP INV</t>
  </si>
  <si>
    <t>REDDITIVITA' MEZZI PROPRI ROE</t>
  </si>
  <si>
    <t>INCIDENZA DEB BREVE/LUNGO</t>
  </si>
  <si>
    <t>utile di esercizio</t>
  </si>
  <si>
    <t>fondo svalutazione</t>
  </si>
  <si>
    <t>DEBITI A LUNGO TERMINE</t>
  </si>
  <si>
    <t>BANCHE PASSIVE A BREVE</t>
  </si>
  <si>
    <t>BANCHE PASSIVE A LUNGO</t>
  </si>
  <si>
    <t>FLUSSO DI CASSA DELLA GESTIONE DEGLI  IMMOBILIZZI</t>
  </si>
  <si>
    <t>Oneri finanziari</t>
  </si>
  <si>
    <t>SOLIDITA'</t>
  </si>
  <si>
    <t>DEBITI BREVE/DEBITI LUNGO</t>
  </si>
  <si>
    <t>IMMOBILIZZI</t>
  </si>
  <si>
    <t>DURATA MEDIA DEBITI VS FORNITORI</t>
  </si>
  <si>
    <t>liquidità</t>
  </si>
  <si>
    <t>rotazione attività correnti</t>
  </si>
  <si>
    <t>rotazione fornitori</t>
  </si>
  <si>
    <t>gg fornitori</t>
  </si>
  <si>
    <t xml:space="preserve">FORNITORI/ACQUISTI </t>
  </si>
  <si>
    <t>ROTAZIONE FORNITORI</t>
  </si>
  <si>
    <t>FORNITORI/ACQUISTI  GG</t>
  </si>
  <si>
    <t>TAX RATE</t>
  </si>
  <si>
    <t>consumi e oneri esterni</t>
  </si>
  <si>
    <t>INDICE CREDITO FORNITORI</t>
  </si>
  <si>
    <t>EFFICIENZA</t>
  </si>
  <si>
    <t>UTILE</t>
  </si>
  <si>
    <t>VARIAZIONE ATTIVO</t>
  </si>
  <si>
    <t>INTERDIPENDENZA FINANZIARIA</t>
  </si>
  <si>
    <t>MEZZI PROPRI/CAP INVEST</t>
  </si>
  <si>
    <t>costo del lavoro</t>
  </si>
  <si>
    <t>Partecipazioni</t>
  </si>
  <si>
    <t>POSIZIONE FINANZIARIA NETTA</t>
  </si>
  <si>
    <t>POSIZIONE FINANZIARIA NETTA/MOL</t>
  </si>
  <si>
    <t>imposte</t>
  </si>
  <si>
    <t>IMMOBILIZZI MATERIALI</t>
  </si>
  <si>
    <t>rod</t>
  </si>
  <si>
    <t>AMMORTAMENTI E ACCANTONAMENTI</t>
  </si>
  <si>
    <t>margine di contribuzione</t>
  </si>
  <si>
    <t>CONSUMI E ONERI ESTERNI</t>
  </si>
  <si>
    <t>COSTO DEL LAVORO</t>
  </si>
  <si>
    <t>INDICE CREDITO CLIENTI</t>
  </si>
  <si>
    <t>=</t>
  </si>
  <si>
    <t>ATTIVO PATRIMONIALE</t>
  </si>
  <si>
    <t>IMMOBILIZZI IMMATERIALI</t>
  </si>
  <si>
    <t>capitale sociale</t>
  </si>
  <si>
    <t>posizione finanziaria/mol</t>
  </si>
  <si>
    <t>roi</t>
  </si>
  <si>
    <t>ROTAZIONE CLIENTI</t>
  </si>
  <si>
    <t>quick razio</t>
  </si>
  <si>
    <t>IMMOBILIZZI FINANZIARI</t>
  </si>
  <si>
    <t>Passività finanziarie scadenti oltre un anno</t>
  </si>
  <si>
    <t>acid razio</t>
  </si>
  <si>
    <t>FLUSSO DI CASSA</t>
  </si>
  <si>
    <t>costi fissi</t>
  </si>
  <si>
    <t>reddito desiderato</t>
  </si>
  <si>
    <t>IMPOSTE</t>
  </si>
  <si>
    <t>ROTAZIONE DEL CAPITALE</t>
  </si>
  <si>
    <t>ALTRI INDICATORI</t>
  </si>
  <si>
    <t>DEBITI</t>
  </si>
  <si>
    <t>RICAVI NETTI PROCAPITE</t>
  </si>
  <si>
    <t>RICAVI/NR PERSONE</t>
  </si>
  <si>
    <t>INDEBITAMENTO</t>
  </si>
  <si>
    <t>MOL</t>
  </si>
  <si>
    <t>ammortamenti e svalutazioni</t>
  </si>
  <si>
    <t>inc fatturato</t>
  </si>
  <si>
    <t>inc RO</t>
  </si>
  <si>
    <t>incremento RO</t>
  </si>
  <si>
    <t>fondo amm</t>
  </si>
  <si>
    <t>rotazione magazzino</t>
  </si>
  <si>
    <t>rotazione investimenti</t>
  </si>
  <si>
    <t>ros</t>
  </si>
  <si>
    <t>ACCANTONAMENTI</t>
  </si>
  <si>
    <t>FLUSSO DI CASSA DELLA GESTIONE REDDITUALE</t>
  </si>
  <si>
    <t>FLUSSO DI CASSA DA CCN</t>
  </si>
  <si>
    <t>IMMOBILIZI MATERIALI</t>
  </si>
  <si>
    <t>VARIAZIONE</t>
  </si>
  <si>
    <t>CREDITI VS CLIENTI</t>
  </si>
  <si>
    <t>REDDITIVITA' VENDITE ROS</t>
  </si>
  <si>
    <t>INDICE DI LIQUIDITA'</t>
  </si>
  <si>
    <t>FORNITORI</t>
  </si>
  <si>
    <t>LIQUIDITA'/PASS CORR</t>
  </si>
  <si>
    <t>roe</t>
  </si>
  <si>
    <t>VALORE AGGIUNTO</t>
  </si>
  <si>
    <t>ONERI FINANZIARI</t>
  </si>
  <si>
    <t>FLUSSI DI CASSA DELLA GESTIONE REDDITUALE</t>
  </si>
  <si>
    <t xml:space="preserve">ALTRI CREDITI </t>
  </si>
  <si>
    <t>LEVA OPERATIVA</t>
  </si>
  <si>
    <t>margine di sicurezza</t>
  </si>
  <si>
    <t>INCIDENZA ONERI FINANZIARI ROD</t>
  </si>
  <si>
    <t>FLUSSO DI CASSA DELLA GESTIONE CORRENTE</t>
  </si>
  <si>
    <t>crescita fatturato</t>
  </si>
  <si>
    <t>DEBITI BANCARI</t>
  </si>
  <si>
    <t>Risultato partecipazioni</t>
  </si>
  <si>
    <t>debiti finanziari</t>
  </si>
  <si>
    <t>VALORE AGGIUNTO/PRO CAPITE</t>
  </si>
  <si>
    <t>REDDITO ANTE IMPOSTE</t>
  </si>
  <si>
    <t>GESTIONE FINANZIARIA</t>
  </si>
  <si>
    <t>fonti</t>
  </si>
  <si>
    <t xml:space="preserve">Stato patrimoniale attivo </t>
  </si>
  <si>
    <t xml:space="preserve">A) Crediti verso soci per versamenti ancora dovuti </t>
  </si>
  <si>
    <t xml:space="preserve">(di cui già richiamati) </t>
  </si>
  <si>
    <t xml:space="preserve">B) Immobilizzazioni </t>
  </si>
  <si>
    <t xml:space="preserve">I. Immateriali </t>
  </si>
  <si>
    <t xml:space="preserve">- (Ammortamenti) </t>
  </si>
  <si>
    <t xml:space="preserve">- (Svalutazioni) </t>
  </si>
  <si>
    <t xml:space="preserve">II. Materiali </t>
  </si>
  <si>
    <t xml:space="preserve">III. Finanziarie </t>
  </si>
  <si>
    <t xml:space="preserve">Totale Immobilizzazioni </t>
  </si>
  <si>
    <t xml:space="preserve">C) Attivo circolante </t>
  </si>
  <si>
    <t xml:space="preserve">I. Rimanenze </t>
  </si>
  <si>
    <t xml:space="preserve">II. Crediti </t>
  </si>
  <si>
    <t xml:space="preserve">- entro 12 mesi </t>
  </si>
  <si>
    <t xml:space="preserve">- oltre 12 mesi </t>
  </si>
  <si>
    <t xml:space="preserve">IV. Disponibilità liquide </t>
  </si>
  <si>
    <t xml:space="preserve">Totale attivo circolante </t>
  </si>
  <si>
    <t xml:space="preserve">D) Ratei e risconti </t>
  </si>
  <si>
    <t xml:space="preserve">Totale attivo </t>
  </si>
  <si>
    <t xml:space="preserve">Stato patrimoniale passivo </t>
  </si>
  <si>
    <t xml:space="preserve">A) Patrimonio netto </t>
  </si>
  <si>
    <t xml:space="preserve">I. Capitale </t>
  </si>
  <si>
    <t xml:space="preserve">II. Riserva da sovrapprezzo delle azioni </t>
  </si>
  <si>
    <t xml:space="preserve">III. Riserva di rivalutazione </t>
  </si>
  <si>
    <t xml:space="preserve">IV. Riserva legale </t>
  </si>
  <si>
    <t xml:space="preserve">V. Riservestatutarie </t>
  </si>
  <si>
    <t xml:space="preserve">VI. Riserva per azioni proprie in portafoglio </t>
  </si>
  <si>
    <t xml:space="preserve">VII. Altre riserve </t>
  </si>
  <si>
    <t xml:space="preserve">Riserva straordinaria </t>
  </si>
  <si>
    <t xml:space="preserve">Fondo accantonamento sopravvenienze attive </t>
  </si>
  <si>
    <t xml:space="preserve">VIII. Utili (perdite) portati a nuovo </t>
  </si>
  <si>
    <t xml:space="preserve">IX. Utile d'esercizio </t>
  </si>
  <si>
    <t xml:space="preserve">IX. Perdita d'esercizio </t>
  </si>
  <si>
    <t xml:space="preserve">Acconti su dividendi </t>
  </si>
  <si>
    <t xml:space="preserve">Copertura parziale perdita d’esercizio </t>
  </si>
  <si>
    <t xml:space="preserve">Totale patrimonio netto </t>
  </si>
  <si>
    <t xml:space="preserve">B) Fondi per rischi e oneri </t>
  </si>
  <si>
    <t xml:space="preserve">C) Trattamento fine rapporto di lavoro subordinato </t>
  </si>
  <si>
    <t xml:space="preserve">D) Debiti </t>
  </si>
  <si>
    <t xml:space="preserve">2.200.012 </t>
  </si>
  <si>
    <t xml:space="preserve">E) Ratei e risconti </t>
  </si>
  <si>
    <t xml:space="preserve">Totale passivo </t>
  </si>
  <si>
    <t xml:space="preserve">Conto economico </t>
  </si>
  <si>
    <t xml:space="preserve">A) Valore della produzione </t>
  </si>
  <si>
    <t xml:space="preserve">4) Incrementidiimmobilizzazioniperlavoriinterni </t>
  </si>
  <si>
    <t xml:space="preserve">5) Altri ricavi e proventi: </t>
  </si>
  <si>
    <t xml:space="preserve">- vari </t>
  </si>
  <si>
    <t xml:space="preserve">- contributi in conto esercizio </t>
  </si>
  <si>
    <t xml:space="preserve">- contributi in conto capitale (quote esercizio) </t>
  </si>
  <si>
    <t xml:space="preserve">Totale valore della produzione </t>
  </si>
  <si>
    <t xml:space="preserve">B) Costi della produzione </t>
  </si>
  <si>
    <t xml:space="preserve">a) Salariestipendi </t>
  </si>
  <si>
    <t xml:space="preserve">b) Onerisociali </t>
  </si>
  <si>
    <t xml:space="preserve">c) Trattamento di fine rapporto </t>
  </si>
  <si>
    <t xml:space="preserve">e) Altri costi </t>
  </si>
  <si>
    <t xml:space="preserve">10) Ammortamenti e svalutazioni </t>
  </si>
  <si>
    <t xml:space="preserve">c) Altre svalutazioni delle immobilizzazioni </t>
  </si>
  <si>
    <t xml:space="preserve">12) Accantonamento per rischi </t>
  </si>
  <si>
    <t xml:space="preserve">13) Altri accantonamenti </t>
  </si>
  <si>
    <t xml:space="preserve">14) Oneri diversi di gestione </t>
  </si>
  <si>
    <t xml:space="preserve">Totale costi della produzione </t>
  </si>
  <si>
    <t xml:space="preserve">Differenza tra valore e costi di produzione (A-B) </t>
  </si>
  <si>
    <t xml:space="preserve">C) Proventi e oneri finanziari </t>
  </si>
  <si>
    <t xml:space="preserve">15) Proventi da partecipazioni: </t>
  </si>
  <si>
    <t xml:space="preserve">- da imprese controllate </t>
  </si>
  <si>
    <t xml:space="preserve">- da imprese collegate </t>
  </si>
  <si>
    <t xml:space="preserve">- altri </t>
  </si>
  <si>
    <t xml:space="preserve">16) Altri proventi finanziari: </t>
  </si>
  <si>
    <t xml:space="preserve">- da controllanti </t>
  </si>
  <si>
    <t xml:space="preserve">c) da titoli iscritti nell'attivo circolante </t>
  </si>
  <si>
    <t xml:space="preserve">17) Interessi e altri oneri finanziari: </t>
  </si>
  <si>
    <t xml:space="preserve">17-bis) utili e perdite su cambi </t>
  </si>
  <si>
    <t xml:space="preserve">Totale proventi e oneri finanziari </t>
  </si>
  <si>
    <t xml:space="preserve">D) Rettifiche di valore di attività finanziarie </t>
  </si>
  <si>
    <t xml:space="preserve">18) Rivalutazioni: </t>
  </si>
  <si>
    <t xml:space="preserve">c) di titoli iscritti nell'attivo circolante </t>
  </si>
  <si>
    <t xml:space="preserve">19) Svalutazioni: </t>
  </si>
  <si>
    <t xml:space="preserve">Totale rettifiche di valore di attività finanziarie </t>
  </si>
  <si>
    <t xml:space="preserve">E) Proventi e oneri straordinari </t>
  </si>
  <si>
    <t xml:space="preserve">20) Proventi: </t>
  </si>
  <si>
    <t xml:space="preserve">- plusvalenze da alienazioni </t>
  </si>
  <si>
    <t xml:space="preserve">- varie </t>
  </si>
  <si>
    <t xml:space="preserve">- differenza da arrotondamento all'unità di Euro </t>
  </si>
  <si>
    <t xml:space="preserve">21) Oneri: </t>
  </si>
  <si>
    <t xml:space="preserve">- minusvalenze da alienazioni </t>
  </si>
  <si>
    <t xml:space="preserve">- imposte esercizi precedenti </t>
  </si>
  <si>
    <t xml:space="preserve">Totale delle partite straordinarie </t>
  </si>
  <si>
    <t xml:space="preserve">Risultato prima delle imposte (A-B±C±D±E) </t>
  </si>
  <si>
    <t xml:space="preserve">a) Imposte correnti </t>
  </si>
  <si>
    <t xml:space="preserve">b) Imposte differite </t>
  </si>
  <si>
    <t xml:space="preserve">c) Imposte anticipate </t>
  </si>
  <si>
    <t xml:space="preserve">d) Proventi (oneri) da adesione al regime di </t>
  </si>
  <si>
    <t xml:space="preserve">consolidato fiscale/trasparenza fiscale </t>
  </si>
  <si>
    <t xml:space="preserve">23) Utile (Perdita) dell'esercizio </t>
  </si>
  <si>
    <t xml:space="preserve">CABERNET SPA </t>
  </si>
  <si>
    <t>31/12/X-1</t>
  </si>
  <si>
    <r>
      <t xml:space="preserve">Bilancio al </t>
    </r>
    <r>
      <rPr>
        <sz val="14"/>
        <rFont val="Verdana"/>
        <family val="2"/>
      </rPr>
      <t>31/12/X</t>
    </r>
  </si>
  <si>
    <t>31/12/X</t>
  </si>
  <si>
    <t xml:space="preserve">Reg. Imp. 0011XYZ Rea 265785 </t>
  </si>
  <si>
    <t>III. Attività finanziarie che non costituiscono Immobilizzazioni</t>
  </si>
  <si>
    <t xml:space="preserve">1) Ricavi delle vendite e delleprestazioni </t>
  </si>
  <si>
    <t xml:space="preserve">2) Variazione delle rimanenze di prodotti in lavorazione, semilavorati e finiti </t>
  </si>
  <si>
    <t xml:space="preserve">3) Variazioni dei lavori in corso su ordinazione </t>
  </si>
  <si>
    <t xml:space="preserve">6) Permaterie prime, sussidiarie ,di consumo e di merci </t>
  </si>
  <si>
    <t xml:space="preserve">7) Per servizi </t>
  </si>
  <si>
    <t xml:space="preserve">8) Per godimento di beni di terzi </t>
  </si>
  <si>
    <t xml:space="preserve">9) Per il personale </t>
  </si>
  <si>
    <t xml:space="preserve">d) Trattamento di quiescenza e simili </t>
  </si>
  <si>
    <t xml:space="preserve">a) Ammortamento delle immobilizzazioni immateriali </t>
  </si>
  <si>
    <t xml:space="preserve">b) Ammortamento delle immobilizzazioni materiali </t>
  </si>
  <si>
    <t xml:space="preserve">d) Svalutazioni dei crediti compresi nell'attivo circolante e delle disponibilità liquide </t>
  </si>
  <si>
    <t xml:space="preserve">11) Variazioni delle rimanenze di materie prime, sussidiarie, di consumo e merci </t>
  </si>
  <si>
    <t xml:space="preserve">a) da crediti iscritti nelle immobilizzazioni </t>
  </si>
  <si>
    <t xml:space="preserve">b) da titoli iscritti nelle immobilizzazioni </t>
  </si>
  <si>
    <t xml:space="preserve">d) proventi diversi dai precedenti: </t>
  </si>
  <si>
    <t>altri</t>
  </si>
  <si>
    <t xml:space="preserve">a) di partecipazioni </t>
  </si>
  <si>
    <t xml:space="preserve">b) di immobilizzazioni finanziarie </t>
  </si>
  <si>
    <t xml:space="preserve">22) Imposte sul reddito dell'esercizio, correnti, differite e anticipate </t>
  </si>
  <si>
    <t>XXXX</t>
  </si>
  <si>
    <t>XXX-1</t>
  </si>
  <si>
    <t xml:space="preserve">rizione </t>
  </si>
  <si>
    <t xml:space="preserve">Valore </t>
  </si>
  <si>
    <t xml:space="preserve">Incrementi </t>
  </si>
  <si>
    <t xml:space="preserve">Decrementi </t>
  </si>
  <si>
    <t xml:space="preserve">Amm.to </t>
  </si>
  <si>
    <t xml:space="preserve">costi </t>
  </si>
  <si>
    <t xml:space="preserve">esercizio </t>
  </si>
  <si>
    <t xml:space="preserve">Impianto e ampliamento </t>
  </si>
  <si>
    <t xml:space="preserve">Ricerca, sviluppo e pubblicità </t>
  </si>
  <si>
    <t xml:space="preserve">Diritti brevetti industriali </t>
  </si>
  <si>
    <t xml:space="preserve">Concessioni, licenze, marchi </t>
  </si>
  <si>
    <t xml:space="preserve">Immobilizzazioni in corso e acconti </t>
  </si>
  <si>
    <t xml:space="preserve">Altre </t>
  </si>
  <si>
    <t>31/12/xxxx-1</t>
  </si>
  <si>
    <t>31/12/xxxx</t>
  </si>
  <si>
    <t>31/12/X+1</t>
  </si>
  <si>
    <t>31/12/x+1</t>
  </si>
  <si>
    <t>31/12/x</t>
  </si>
  <si>
    <t>31/12/x-1</t>
  </si>
  <si>
    <t>Variazioni prodotti in lavorazione</t>
  </si>
  <si>
    <t>proventi straordinari</t>
  </si>
  <si>
    <t>oneri straordinari</t>
  </si>
  <si>
    <t>PXQ</t>
  </si>
  <si>
    <t>x-1</t>
  </si>
  <si>
    <t>x</t>
  </si>
  <si>
    <t>x+1</t>
  </si>
  <si>
    <t>wacc</t>
  </si>
  <si>
    <t>Dividend Discount Model</t>
  </si>
  <si>
    <t>Ultimo Dividendo</t>
  </si>
  <si>
    <t>Tasso free risk</t>
  </si>
  <si>
    <t>Crescita dividendi</t>
  </si>
  <si>
    <t>Premio per il rischio</t>
  </si>
  <si>
    <t>Beta</t>
  </si>
  <si>
    <t>Tasso di sconto</t>
  </si>
  <si>
    <t>Fair value</t>
  </si>
  <si>
    <t>Sostenibilità crescita</t>
  </si>
  <si>
    <t>Utile per azione</t>
  </si>
  <si>
    <t>Roe</t>
  </si>
  <si>
    <t>Payout</t>
  </si>
  <si>
    <t>Crescita sostenibile</t>
  </si>
  <si>
    <t>CALCOLO DEL PREZZO</t>
  </si>
  <si>
    <t>CALCOLO DEL WACC</t>
  </si>
  <si>
    <t>CRESCITA UTILI</t>
  </si>
  <si>
    <t>DIVIDENDO</t>
  </si>
  <si>
    <t>PREZZO AZIONE</t>
  </si>
  <si>
    <t>AUTOFINANZIAMENRTO</t>
  </si>
  <si>
    <t>WACC</t>
  </si>
  <si>
    <t>rendimento</t>
  </si>
  <si>
    <t>PREZZO ATTESO</t>
  </si>
  <si>
    <t>IMMOBILIZZAZIONI</t>
  </si>
  <si>
    <t>CAPITALE CIRCOLANTE</t>
  </si>
  <si>
    <t>INDEBITAMENTO FINANZIARIO</t>
  </si>
  <si>
    <t>COSTI OPERATIVI</t>
  </si>
  <si>
    <t>AMMORTAMENTI</t>
  </si>
  <si>
    <t>RISULTATO OPERATIVO</t>
  </si>
  <si>
    <t>PROVENTI ONERI FINANZIARI</t>
  </si>
  <si>
    <t>PROVENTI ONEREI ACCESSORI</t>
  </si>
  <si>
    <t>TASSE</t>
  </si>
  <si>
    <t>MARGINE OPERATIVO LORDO</t>
  </si>
  <si>
    <t>METODO FCF FREE CASH FLOW TO EQUITY</t>
  </si>
  <si>
    <t>INVESTIMENTI</t>
  </si>
  <si>
    <t>CASH FLOW LORDO RO*(1-T)</t>
  </si>
  <si>
    <t>METODO CASH FLOW TO FIRM</t>
  </si>
  <si>
    <t>COSTO DEL CAPITALE</t>
  </si>
  <si>
    <t>VALORE REDDITUALE</t>
  </si>
  <si>
    <t>VALORE CASH FLOW</t>
  </si>
  <si>
    <t>ECONOMIC VALUE ADDED EVA</t>
  </si>
  <si>
    <t>COSTO CAPITALE XCIX(1-T)</t>
  </si>
  <si>
    <t>GOODWILL</t>
  </si>
  <si>
    <t>EVA</t>
  </si>
  <si>
    <t>VALORE IMPRESA</t>
  </si>
  <si>
    <t>PATRIMONIO</t>
  </si>
  <si>
    <t>COSTO DEBITO</t>
  </si>
  <si>
    <t>Cabernet</t>
  </si>
  <si>
    <t>crescita</t>
  </si>
  <si>
    <t>PROVENTI ONERI ACCESSORI</t>
  </si>
  <si>
    <t xml:space="preserve">tassazione </t>
  </si>
  <si>
    <t>CvXQ</t>
  </si>
  <si>
    <t>A. FLUSSI FINANZIARI DERIVANTI DELL’ATTIVITÀ OPERATIVA (METODO INDIRETTO)</t>
  </si>
  <si>
    <t>UTILE (PERDITA) DELL’ESERCIZIO</t>
  </si>
  <si>
    <t>IMPOSTE SUL REDDITO</t>
  </si>
  <si>
    <t>INTERESSI PASSIVI/(INTERESSI ATTIVI)</t>
  </si>
  <si>
    <t>(DIVIDENDI)</t>
  </si>
  <si>
    <t>(PLUSVALENZE)/MINUSVALENZE DERIVANTI DALLA CESSIONE DI ATTIVITÀ</t>
  </si>
  <si>
    <t>ACCANTONAMENTI AI FONDI</t>
  </si>
  <si>
    <t>AMMORTAMENTI DELLE IMMOBILIZZAZIONI</t>
  </si>
  <si>
    <t>SVALUTAZIONI PER PERDITE DUREVOLI DI VALORE</t>
  </si>
  <si>
    <t>ALTRE RETTIFICHE PER ELEMENTI NON MONETARI</t>
  </si>
  <si>
    <t>2. FLUSSO FINANZIARIO PRIMA DELLE VARIAZIONI DEL CCN</t>
  </si>
  <si>
    <t>VARIAZIONI DEL CAPITALE CIRCOLANTE NETTO</t>
  </si>
  <si>
    <t>DECREMENTO/(INCREMENTO) DELLE RIMANENZE</t>
  </si>
  <si>
    <t>DECREMENTO/(INCREMENTO) DEI CREDITI VS CLIENTI</t>
  </si>
  <si>
    <t>INCREMENTO/(DECREMENTO) DEI DEBITI VERSO FORNITORI</t>
  </si>
  <si>
    <t>DECREMENTO/(INCREMENTO) RATEI E RISCONTI ATTIVI</t>
  </si>
  <si>
    <t>INCREMENTO/(DECREMENTO) RATEI E RISCONTI PASSIVI</t>
  </si>
  <si>
    <t>ALTRE VARIAZIONI DEL CAPITALE CIRCOLANTE NETTO</t>
  </si>
  <si>
    <t>3. FLUSSO FINANZIARIO DOPO LE VARIAZIONI DEL CCN</t>
  </si>
  <si>
    <t>ALTRE RETTIFICHE</t>
  </si>
  <si>
    <t>INTERESSI INCASSATI/(PAGATI)</t>
  </si>
  <si>
    <t>(IMPOSTE SUL REDDITO PAGATE)</t>
  </si>
  <si>
    <t>DIVIDENDI INCASSATI</t>
  </si>
  <si>
    <t>(UTILIZZO DEI FONDI)</t>
  </si>
  <si>
    <t>ALTRI INCASSI/PAGAMENTI</t>
  </si>
  <si>
    <t>B. FLUSSI FINANZIARI DERIVANTI DALL’ATTIVITÀ D’INVESTIMENTO</t>
  </si>
  <si>
    <t>IMMOBILIZZAZIONI MATERIALI</t>
  </si>
  <si>
    <t>IMMOBILIZZAZIONI IMMATERIALI</t>
  </si>
  <si>
    <t>IMMOBILIZZAZIONI FINANZIARIE</t>
  </si>
  <si>
    <t>ATTIVITÀ FINANZIARIE NON IMMOBILIZZATE</t>
  </si>
  <si>
    <t>FLUSSO FINANZIARIO DELL’ATTIVITÀ DI INVESTIMENTO (B)</t>
  </si>
  <si>
    <t>C. FLUSSI FINANZIARI DERIVANTI DALL’ATTIVITÀ DI FINANZIAMENTO</t>
  </si>
  <si>
    <t>MEZZI DI TERZI</t>
  </si>
  <si>
    <t>INCREMENTO (DECREMENTO) DEBITI A BREVE VERSO BANCHE</t>
  </si>
  <si>
    <t>CESSIONE (ACQUISTO) DI AZIONI PROPRIE</t>
  </si>
  <si>
    <t>(DIVIDENDI (E ACCONTI SU DIVIDENDI) PAGATI)</t>
  </si>
  <si>
    <t>FLUSSO FINANZIARIO DELL’ATTIVITÀ DI FINANZIAMENTO (C)</t>
  </si>
  <si>
    <t>INCREMENTO (DECREMENTO) DELLE DISPONIBILITÀ LIQUIDE (A ± B ± C)</t>
  </si>
  <si>
    <t>EFFETTO CAMBI SULLE DISPONIBILITÀ LIQUIDE</t>
  </si>
  <si>
    <t>DISPONIBILITÀ LIQUIDE ALL’INIZIO DELL’ESERCIZIO</t>
  </si>
  <si>
    <t>DI CUI:</t>
  </si>
  <si>
    <t>DEPOSITI BANCARI E POSTALI</t>
  </si>
  <si>
    <t>ASSEGNI</t>
  </si>
  <si>
    <t>DENARO E VALORI IN CASSA</t>
  </si>
  <si>
    <t>DISPONIBILITÀ LIQUIDE ALLA FINE DELL’ESERCIZIO</t>
  </si>
  <si>
    <t>1. UTILE (PERDITA) DELL’ESERCIZIO PRIMA D’IMPOSTE SUL REDDITO, INTERESSI, DIVIDENDI E PLUSVALENZE E MINUSVALENZE</t>
  </si>
  <si>
    <t>RETTIFICHE PER ELEMENTI NON MONETARI CHE NON HANNO AVUTO CONTROPARTITA NEL CAPITALE CIRCOLANTE NETTO</t>
  </si>
  <si>
    <t>RETTIFICHE DI VALORE DI ATTIVITÀ E PASSIVITÀ FINANZIARIE DI STRUMENTI FINANZIARI DERIVATI CHE NON COMPORTANO MOVIMENTAZIONE MONETARIA</t>
  </si>
  <si>
    <t>FLUSSO FINANZIARIO DELL’ATTIVITÀ OPERATIVA (A) GESTIONE REDDITUALE</t>
  </si>
  <si>
    <t>(INVESTIMENTI) DISINVESTIMENTI</t>
  </si>
  <si>
    <t>(ACQUISIZIONE DI RAMI D’AZIENDA AL NETTO DELLE DISPONIBILITÀ LIQUIDE) CESSIONE DI RAMI D’AZIENDA AL NETTO DELLE DISPONIBILITÀ LIQUIDE</t>
  </si>
  <si>
    <t>ACCENSIONE FINANZIAMENTI (RIMBORSO FINANZIAMENTI)</t>
  </si>
  <si>
    <t>AUMENTO DI CAPITALE A PAGAMENTO (RIMBORSO DI CAPITALE)</t>
  </si>
  <si>
    <t xml:space="preserve">Indicatori della Crisi </t>
  </si>
  <si>
    <t>Settore</t>
  </si>
  <si>
    <t>Valori soglia</t>
  </si>
  <si>
    <t>INDICATORI</t>
  </si>
  <si>
    <t>Patrimonio Netto</t>
  </si>
  <si>
    <t>≥</t>
  </si>
  <si>
    <t>DSCR (debt service coverage ratio)</t>
  </si>
  <si>
    <t>&lt;</t>
  </si>
  <si>
    <t>&gt;</t>
  </si>
  <si>
    <t>Calcolo indicatori</t>
  </si>
  <si>
    <t xml:space="preserve">Indice di sostenibilità degli oneri finanziari </t>
  </si>
  <si>
    <t>Oneri finanziari (voce C17 del conto economico) / Fatturato (voce A1 del conto economico)</t>
  </si>
  <si>
    <t>Indice di adeguatezza patrimoniale</t>
  </si>
  <si>
    <t>Patrimonio Netto (voce A del passivo - voce A dell'attivo - dividendi deliberati) / Debiti totali (voci D e E del passivo)</t>
  </si>
  <si>
    <t>Indice di ritorno liquido dell'attivo</t>
  </si>
  <si>
    <t>Cash Flow (Risultato di esercizio + costi e ricavi non monetari) / Totale Attivo</t>
  </si>
  <si>
    <t>Indice di liquidità</t>
  </si>
  <si>
    <t>Totale Attività a breve termine (voci C e D dell'Attivo) / Totale Passività a breve (voci D e E del Passivo)</t>
  </si>
  <si>
    <t>Indice di indebitamento previdenziale o tributario</t>
  </si>
  <si>
    <t>Totale Indebitamento Previdenziale e Tributario (D12 e D13 del Passivo) / Totale Attivo Stato Patrimoniale</t>
  </si>
  <si>
    <t>SOGLIE DI ALLERTA</t>
  </si>
  <si>
    <t>O.F./RIC</t>
  </si>
  <si>
    <t>PN/DEB</t>
  </si>
  <si>
    <t>ATT.B/PASS.B</t>
  </si>
  <si>
    <t>CF/ATT</t>
  </si>
  <si>
    <t>DEB TRIB/ATT</t>
  </si>
  <si>
    <t>SETTORE</t>
  </si>
  <si>
    <t>(A) Agricoltura, silvicoltura e pesca</t>
  </si>
  <si>
    <t>Agr</t>
  </si>
  <si>
    <t>(B) Estrazione; (C) Manifattura; (D1) Prod. Energia/gas</t>
  </si>
  <si>
    <t>Manif</t>
  </si>
  <si>
    <t>(E) Forn. Acqua reti fognarie rifiuti; (D2) Trasm. Energia/gas</t>
  </si>
  <si>
    <t>Energ</t>
  </si>
  <si>
    <t>(F41) Costruzione di edifici</t>
  </si>
  <si>
    <t>Costr</t>
  </si>
  <si>
    <t>(F42) Ingegneria civile; (F43) Costr. Specializzate</t>
  </si>
  <si>
    <t>Ing</t>
  </si>
  <si>
    <t>(G45) Comm. Ingrosso e dett. Auto; (G46) Comm. Ingrosso; (D3) Distrib.energia/gas</t>
  </si>
  <si>
    <t>COMM</t>
  </si>
  <si>
    <t>(G47) Comm.dettaglio; (I56) Bar e Ristoranti</t>
  </si>
  <si>
    <t>COM</t>
  </si>
  <si>
    <t>(H) Trasporto e magazzinaggio; (I55) Hotel</t>
  </si>
  <si>
    <t>Trasp</t>
  </si>
  <si>
    <t>(JMN) Servizi alle imprese</t>
  </si>
  <si>
    <t>Serim</t>
  </si>
  <si>
    <t>(PQRS) Servizi alle persone</t>
  </si>
  <si>
    <t>Serp</t>
  </si>
  <si>
    <t>w</t>
  </si>
  <si>
    <t>descrizione</t>
  </si>
  <si>
    <t>costo cum</t>
  </si>
  <si>
    <t>% cum</t>
  </si>
  <si>
    <t>mol</t>
  </si>
  <si>
    <t>oneri finanziari</t>
  </si>
  <si>
    <t>debito</t>
  </si>
  <si>
    <t>DSCR</t>
  </si>
  <si>
    <t>manif</t>
  </si>
  <si>
    <t xml:space="preserve"> </t>
  </si>
  <si>
    <t>svalutazione crediti</t>
  </si>
  <si>
    <t>CONTO ECONOMICO A VALORE AGGIUNTO</t>
  </si>
  <si>
    <t>RENDICONTO FINANZIARIO</t>
  </si>
  <si>
    <t>CONTO ECONOMICO A MARGINE DI CONTRIBUZIONE</t>
  </si>
  <si>
    <t>RENDICONTO DI LIQUIDITA'</t>
  </si>
  <si>
    <t>BREAK EVEN</t>
  </si>
  <si>
    <t>STATO PATRIMONIALE</t>
  </si>
  <si>
    <t>PARETO</t>
  </si>
  <si>
    <t>TIPO</t>
  </si>
  <si>
    <t>DECRIZIONE</t>
  </si>
  <si>
    <t>FORMULA</t>
  </si>
  <si>
    <t>INDICATORE</t>
  </si>
  <si>
    <t>QUICK RATIO</t>
  </si>
  <si>
    <t>ROT MAG</t>
  </si>
  <si>
    <t>ROT ATT CORR</t>
  </si>
  <si>
    <t>ROT CI</t>
  </si>
  <si>
    <t>ROT CLIENTI</t>
  </si>
  <si>
    <t>GG CLIENTI</t>
  </si>
  <si>
    <t>ROT FOR</t>
  </si>
  <si>
    <t>GG FOR</t>
  </si>
  <si>
    <t>R/N PER</t>
  </si>
  <si>
    <t>R/COSTO PER</t>
  </si>
  <si>
    <t>VA/PER</t>
  </si>
  <si>
    <t>RO/PER</t>
  </si>
  <si>
    <t>MP/CI</t>
  </si>
  <si>
    <t>MEZZIDI TERZI/MEZZI PROPRI</t>
  </si>
  <si>
    <t>MT/MP</t>
  </si>
  <si>
    <t>DB/DL</t>
  </si>
  <si>
    <r>
      <t>D</t>
    </r>
    <r>
      <rPr>
        <sz val="9"/>
        <color theme="1"/>
        <rFont val="Verdana"/>
        <family val="2"/>
      </rPr>
      <t xml:space="preserve"> ATTIVITA'/ATTIVITA' INIZIALI</t>
    </r>
  </si>
  <si>
    <r>
      <rPr>
        <sz val="9"/>
        <color theme="1"/>
        <rFont val="Symbol"/>
        <family val="5"/>
        <charset val="2"/>
      </rPr>
      <t>D</t>
    </r>
    <r>
      <rPr>
        <sz val="9"/>
        <color theme="1"/>
        <rFont val="Verdana"/>
        <family val="2"/>
        <charset val="2"/>
      </rPr>
      <t xml:space="preserve"> ATTIVITA'</t>
    </r>
  </si>
  <si>
    <r>
      <t>D</t>
    </r>
    <r>
      <rPr>
        <sz val="9"/>
        <color theme="1"/>
        <rFont val="Verdana"/>
        <family val="2"/>
      </rPr>
      <t xml:space="preserve"> FATTURATO/FATTURATO INIZIALE</t>
    </r>
  </si>
  <si>
    <r>
      <t>D</t>
    </r>
    <r>
      <rPr>
        <sz val="9"/>
        <color theme="1"/>
        <rFont val="Verdana"/>
        <family val="2"/>
      </rPr>
      <t xml:space="preserve"> FATTURATO</t>
    </r>
  </si>
  <si>
    <r>
      <t>D</t>
    </r>
    <r>
      <rPr>
        <sz val="9"/>
        <color theme="1"/>
        <rFont val="Verdana"/>
        <family val="2"/>
      </rPr>
      <t xml:space="preserve"> MP/PM INIZIALI</t>
    </r>
  </si>
  <si>
    <r>
      <t>D</t>
    </r>
    <r>
      <rPr>
        <sz val="9"/>
        <color theme="1"/>
        <rFont val="Verdana"/>
        <family val="2"/>
      </rPr>
      <t xml:space="preserve"> MP</t>
    </r>
  </si>
  <si>
    <r>
      <t>D</t>
    </r>
    <r>
      <rPr>
        <sz val="9"/>
        <color theme="1"/>
        <rFont val="Verdana"/>
        <family val="2"/>
      </rPr>
      <t xml:space="preserve"> CAP/CAP INIZIALE</t>
    </r>
  </si>
  <si>
    <r>
      <t>D</t>
    </r>
    <r>
      <rPr>
        <sz val="9"/>
        <color theme="1"/>
        <rFont val="Verdana"/>
        <family val="2"/>
      </rPr>
      <t xml:space="preserve"> CAP</t>
    </r>
  </si>
  <si>
    <t>CI</t>
  </si>
  <si>
    <t>MT</t>
  </si>
  <si>
    <t>MP</t>
  </si>
  <si>
    <t>OF/RO</t>
  </si>
  <si>
    <t>PFN</t>
  </si>
  <si>
    <t>PFN/MOL</t>
  </si>
  <si>
    <t>EBITDA</t>
  </si>
  <si>
    <t>BILANCIO CABERNET SRL</t>
  </si>
  <si>
    <t>X-1</t>
  </si>
  <si>
    <t>X</t>
  </si>
  <si>
    <t>X+1</t>
  </si>
  <si>
    <t>X+2</t>
  </si>
  <si>
    <t>X+3</t>
  </si>
  <si>
    <t>X+4</t>
  </si>
  <si>
    <t>X+5</t>
  </si>
  <si>
    <t>X+6</t>
  </si>
  <si>
    <t>NR DIPENDENTI</t>
  </si>
  <si>
    <t>BILANCIO CEE</t>
  </si>
  <si>
    <t>CONTO ECONOMICO RI</t>
  </si>
  <si>
    <t>RENDICONTO OIC</t>
  </si>
  <si>
    <t>FLUSSI CCN</t>
  </si>
  <si>
    <t>ALBERO REDDITITIVITA'</t>
  </si>
  <si>
    <t>INDICI</t>
  </si>
  <si>
    <t>INDICI DI CRISI</t>
  </si>
  <si>
    <t>VALUTAZIONE</t>
  </si>
  <si>
    <t>D ATTIVITA'</t>
  </si>
  <si>
    <t>D FATTURATO</t>
  </si>
  <si>
    <t>D MP</t>
  </si>
  <si>
    <t>D CAP</t>
  </si>
  <si>
    <t>BETA</t>
  </si>
  <si>
    <t>PREMIO AL RISCHIO</t>
  </si>
  <si>
    <t>Cash Conversion cycle</t>
  </si>
  <si>
    <t>indebitamento</t>
  </si>
  <si>
    <t>CASH CONVERSIONE CYCLE</t>
  </si>
  <si>
    <t>GG CLI+GGMAG-GGFOR</t>
  </si>
  <si>
    <t>CASH CONVERSION</t>
  </si>
  <si>
    <t>VENDITE</t>
  </si>
  <si>
    <t>NR ORDINI</t>
  </si>
  <si>
    <t>FATTURATO TOTALE</t>
  </si>
  <si>
    <t>RICAVI NETTI</t>
  </si>
  <si>
    <t>TOTALE ORDINI RICEVUTI</t>
  </si>
  <si>
    <t>TOTALE OFFERTE FATTE</t>
  </si>
  <si>
    <t>OFFERTE</t>
  </si>
  <si>
    <t>NR OFFERTE</t>
  </si>
  <si>
    <t>LOGISTICA</t>
  </si>
  <si>
    <t>TEMPO MEDIO DI EVASIONE ORDINI</t>
  </si>
  <si>
    <t>EVASIONE ORDINI</t>
  </si>
  <si>
    <t>MEDIA TEMPO EVASIONE</t>
  </si>
  <si>
    <t>PRODUZIONE</t>
  </si>
  <si>
    <t>CUSTOMER SATISFACTION</t>
  </si>
  <si>
    <t>% SODDISFAZIONE</t>
  </si>
  <si>
    <t>CASH DA GESTIONE REDDITUALE</t>
  </si>
  <si>
    <t>UTILI + AMMORTAMENTI +ACCONTAMENTI</t>
  </si>
  <si>
    <t>CASH FLOW</t>
  </si>
  <si>
    <t>OVERALL EQUIPMENT EFFECTIVENESS</t>
  </si>
  <si>
    <t>OEE</t>
  </si>
  <si>
    <t>LIFE TIME VALUE</t>
  </si>
  <si>
    <t>LTV</t>
  </si>
  <si>
    <t>COSTO DI ACQUISZIONE DEL CLIENTE</t>
  </si>
  <si>
    <t>COSTO ACQUISZIONE</t>
  </si>
  <si>
    <t>CAC</t>
  </si>
  <si>
    <t>PERCENTUALE SCARTI</t>
  </si>
  <si>
    <t>% SCARTI</t>
  </si>
  <si>
    <t>TEMPO DI CICLO</t>
  </si>
  <si>
    <t>TEMPO CICLO</t>
  </si>
  <si>
    <t>RISORSE UMANE</t>
  </si>
  <si>
    <t>ORE FORMAZIONE</t>
  </si>
  <si>
    <t>gen</t>
  </si>
  <si>
    <t>feb</t>
  </si>
  <si>
    <t>mar</t>
  </si>
  <si>
    <t>apr</t>
  </si>
  <si>
    <t>mag</t>
  </si>
  <si>
    <t>giu</t>
  </si>
  <si>
    <t>lug</t>
  </si>
  <si>
    <t>ago</t>
  </si>
  <si>
    <t>set</t>
  </si>
  <si>
    <t>ott</t>
  </si>
  <si>
    <t>nov</t>
  </si>
  <si>
    <t>dic</t>
  </si>
  <si>
    <t>TARGET</t>
  </si>
  <si>
    <t>COMMENTO</t>
  </si>
  <si>
    <t xml:space="preserve">AZIONI </t>
  </si>
  <si>
    <t xml:space="preserve">😄 </t>
  </si>
  <si>
    <t>🥲</t>
  </si>
  <si>
    <t xml:space="preserve">😐 </t>
  </si>
  <si>
    <t>GRADO DI SODDISFAZIONE</t>
  </si>
  <si>
    <t>GRADO DI SICUREZZA</t>
  </si>
  <si>
    <t>% SICUREZZA</t>
  </si>
  <si>
    <t>DESCRIZIONE</t>
  </si>
  <si>
    <t>VALORI DI SCARTO</t>
  </si>
  <si>
    <t>GIORNI MAGAZZINO</t>
  </si>
  <si>
    <t>MAGAZZINO/RICAVI X 360</t>
  </si>
  <si>
    <t>GG MAGAZZINO</t>
  </si>
  <si>
    <t>RICAVI/CLIENTI</t>
  </si>
  <si>
    <t>CLIENTI/RICAVIX360</t>
  </si>
  <si>
    <t>CASH CONVERSION CYCLE</t>
  </si>
  <si>
    <t>GG CL+GG MAGAZZINO-GG FORNITORI</t>
  </si>
  <si>
    <t>GG CL+GG MAG-GGFOR</t>
  </si>
  <si>
    <t>UTILE +AMMORTAMENTI +IMPOSTE</t>
  </si>
  <si>
    <t>CASH REDDITUALE</t>
  </si>
  <si>
    <t xml:space="preserve">COMMENTO
</t>
  </si>
  <si>
    <t xml:space="preserve">AZIONI 
</t>
  </si>
  <si>
    <t>RO</t>
  </si>
  <si>
    <t>F</t>
  </si>
  <si>
    <t>ROT CAPITALE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</si>
</sst>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3" formatCode="_-* #,##0.00_-;\-* #,##0.00_-;_-* &quot;-&quot;??_-;_-@_-"/>
    <numFmt numFmtId="164" formatCode="_-* #,##0.00\ _€_-;\-* #,##0.00\ _€_-;_-* &quot;-&quot;??\ _€_-;_-@_-"/>
    <numFmt numFmtId="165" formatCode="&quot;€&quot;\ #,##0.00;[Red]\-&quot;€&quot;\ #,##0.00"/>
    <numFmt numFmtId="166" formatCode="&quot;€&quot;#,##0.00;[Red]\-&quot;€&quot;#,##0.00"/>
    <numFmt numFmtId="167" formatCode="0.0%"/>
    <numFmt numFmtId="168" formatCode="_-* #,##0.0_-;\-* #,##0.0_-;_-* &quot;-&quot;_-;_-@_-"/>
    <numFmt numFmtId="169" formatCode="0.0"/>
    <numFmt numFmtId="170" formatCode="_-* #,##0.0_-;\-* #,##0.0_-;_-* &quot;-&quot;?_-;_-@_-"/>
    <numFmt numFmtId="171" formatCode="_-* #,##0.00_-;\-* #,##0.00_-;_-* &quot;-&quot;_-;_-@_-"/>
    <numFmt numFmtId="172" formatCode="#,##0_ ;\-#,##0\ "/>
    <numFmt numFmtId="173" formatCode="dd/mmm/yy"/>
    <numFmt numFmtId="174" formatCode="_-[$€-2]\ * #,##0.00_-;\-[$€-2]\ * #,##0.00_-;_-[$€-2]\ * &quot;-&quot;??_-"/>
    <numFmt numFmtId="175" formatCode="_-* #,##0_-;\-* #,##0_-;_-* &quot;-&quot;??_-;_-@_-"/>
    <numFmt numFmtId="176" formatCode="_-* #,##0.000_-;\-* #,##0.000_-;_-* &quot;-&quot;_-;_-@_-"/>
    <numFmt numFmtId="177" formatCode="_-* #,##0.000_-;\-* #,##0.000_-;_-* &quot;-&quot;??_-;_-@_-"/>
    <numFmt numFmtId="178" formatCode="_(* #,##0.00_);_(* \(#,##0.00\);_(* &quot;-&quot;??_);_(@_)"/>
    <numFmt numFmtId="179" formatCode="0.000%"/>
    <numFmt numFmtId="180" formatCode="#,##0.000"/>
    <numFmt numFmtId="181" formatCode="_-* #,##0.0000_-;\-* #,##0.0000_-;_-* &quot;-&quot;_-;_-@_-"/>
    <numFmt numFmtId="182" formatCode="_-* #,##0.0000\ _€_-;\-* #,##0.0000\ _€_-;_-* &quot;-&quot;????\ _€_-;_-@_-"/>
  </numFmts>
  <fonts count="105">
    <font>
      <sz val="9"/>
      <name val="Verdana"/>
    </font>
    <font>
      <b/>
      <sz val="9"/>
      <name val="Geneva"/>
      <family val="2"/>
    </font>
    <font>
      <i/>
      <sz val="9"/>
      <name val="Geneva"/>
      <family val="2"/>
    </font>
    <font>
      <sz val="9"/>
      <name val="Geneva"/>
      <family val="2"/>
    </font>
    <font>
      <b/>
      <u val="singleAccounting"/>
      <sz val="9"/>
      <name val="Geneva"/>
      <family val="2"/>
    </font>
    <font>
      <b/>
      <sz val="14"/>
      <name val="Geneva"/>
      <family val="2"/>
    </font>
    <font>
      <b/>
      <sz val="10"/>
      <name val="Geneva"/>
      <family val="2"/>
    </font>
    <font>
      <b/>
      <u/>
      <sz val="14"/>
      <name val="Geneva"/>
      <family val="2"/>
    </font>
    <font>
      <sz val="12"/>
      <name val="Geneva"/>
      <family val="2"/>
    </font>
    <font>
      <sz val="14"/>
      <name val="Arial"/>
      <family val="2"/>
    </font>
    <font>
      <b/>
      <sz val="8"/>
      <name val="Geneva"/>
      <family val="2"/>
    </font>
    <font>
      <sz val="8"/>
      <name val="Geneva"/>
      <family val="2"/>
    </font>
    <font>
      <sz val="14"/>
      <name val="Geneva"/>
      <family val="2"/>
    </font>
    <font>
      <b/>
      <u/>
      <sz val="10"/>
      <name val="Geneva"/>
      <family val="2"/>
    </font>
    <font>
      <sz val="10"/>
      <name val="Geneva"/>
      <family val="2"/>
    </font>
    <font>
      <sz val="9"/>
      <name val="Geneva"/>
      <family val="2"/>
    </font>
    <font>
      <sz val="18"/>
      <name val="Geneva"/>
      <family val="2"/>
    </font>
    <font>
      <u/>
      <sz val="10"/>
      <name val="Geneva"/>
      <family val="2"/>
    </font>
    <font>
      <sz val="9"/>
      <name val="Geneva"/>
      <family val="2"/>
    </font>
    <font>
      <sz val="9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9"/>
      <name val="Verdana"/>
      <family val="2"/>
    </font>
    <font>
      <sz val="1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i/>
      <sz val="12"/>
      <name val="Geneva"/>
      <family val="2"/>
    </font>
    <font>
      <b/>
      <sz val="12"/>
      <name val="Geneva"/>
      <family val="2"/>
    </font>
    <font>
      <sz val="24"/>
      <name val="Verdana"/>
      <family val="2"/>
    </font>
    <font>
      <b/>
      <sz val="12"/>
      <name val="Verdana"/>
      <family val="2"/>
    </font>
    <font>
      <sz val="9"/>
      <name val="Arial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b/>
      <i/>
      <sz val="10"/>
      <name val="Verdana"/>
      <family val="2"/>
    </font>
    <font>
      <b/>
      <u/>
      <sz val="9"/>
      <name val="Verdana"/>
      <family val="2"/>
    </font>
    <font>
      <b/>
      <sz val="9"/>
      <name val="Helv"/>
    </font>
    <font>
      <sz val="9"/>
      <name val="Helv"/>
    </font>
    <font>
      <b/>
      <sz val="10"/>
      <color rgb="FF3366FF"/>
      <name val="Verdana"/>
      <family val="2"/>
    </font>
    <font>
      <sz val="9"/>
      <color rgb="FF0000FF"/>
      <name val="Verdana"/>
      <family val="2"/>
    </font>
    <font>
      <b/>
      <sz val="9"/>
      <color rgb="FF0000FF"/>
      <name val="Verdana"/>
      <family val="2"/>
    </font>
    <font>
      <sz val="14"/>
      <color rgb="FF00007F"/>
      <name val="Verdana"/>
      <family val="2"/>
    </font>
    <font>
      <b/>
      <sz val="11"/>
      <color rgb="FF3366FF"/>
      <name val="Verdana"/>
      <family val="2"/>
    </font>
    <font>
      <b/>
      <sz val="11"/>
      <color rgb="FF00007F"/>
      <name val="Verdana"/>
      <family val="2"/>
    </font>
    <font>
      <b/>
      <sz val="10"/>
      <color rgb="FF0000FF"/>
      <name val="Verdana"/>
      <family val="2"/>
    </font>
    <font>
      <b/>
      <i/>
      <sz val="9"/>
      <color rgb="FF0000FF"/>
      <name val="Verdana"/>
      <family val="2"/>
    </font>
    <font>
      <b/>
      <sz val="10"/>
      <color rgb="FF00007F"/>
      <name val="Verdana"/>
      <family val="2"/>
    </font>
    <font>
      <sz val="9"/>
      <color rgb="FF3366FF"/>
      <name val="Verdana"/>
      <family val="2"/>
    </font>
    <font>
      <b/>
      <sz val="11"/>
      <color rgb="FF0000FF"/>
      <name val="Verdana"/>
      <family val="2"/>
    </font>
    <font>
      <b/>
      <sz val="12"/>
      <color rgb="FF00007F"/>
      <name val="Verdana"/>
      <family val="2"/>
    </font>
    <font>
      <b/>
      <sz val="12"/>
      <color rgb="FF0000FF"/>
      <name val="Verdana"/>
      <family val="2"/>
    </font>
    <font>
      <sz val="12"/>
      <color rgb="FF0000FF"/>
      <name val="Verdana"/>
      <family val="2"/>
    </font>
    <font>
      <b/>
      <sz val="18"/>
      <color rgb="FF0000FF"/>
      <name val="Verdana"/>
      <family val="2"/>
    </font>
    <font>
      <b/>
      <sz val="14"/>
      <color theme="1"/>
      <name val="Verdana"/>
      <family val="2"/>
    </font>
    <font>
      <b/>
      <sz val="14"/>
      <color theme="1"/>
      <name val="Calibri"/>
      <family val="2"/>
      <scheme val="minor"/>
    </font>
    <font>
      <sz val="10"/>
      <name val="Verdana"/>
      <family val="2"/>
    </font>
    <font>
      <sz val="16"/>
      <name val="Verdana"/>
      <family val="2"/>
    </font>
    <font>
      <b/>
      <sz val="16"/>
      <name val="Verdana"/>
      <family val="2"/>
    </font>
    <font>
      <b/>
      <sz val="18"/>
      <color theme="1"/>
      <name val="Calibri"/>
      <family val="2"/>
      <scheme val="minor"/>
    </font>
    <font>
      <sz val="20"/>
      <color theme="1"/>
      <name val="Calibri (Corpo)"/>
    </font>
    <font>
      <u/>
      <sz val="9"/>
      <name val="Verdana"/>
      <family val="2"/>
    </font>
    <font>
      <sz val="14"/>
      <color theme="1"/>
      <name val="Calibri"/>
      <family val="2"/>
      <scheme val="minor"/>
    </font>
    <font>
      <sz val="14"/>
      <color theme="1"/>
      <name val="Calibri (Corpo)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rgb="FF000000"/>
      <name val="Times"/>
      <family val="1"/>
    </font>
    <font>
      <b/>
      <sz val="10"/>
      <color rgb="FF000000"/>
      <name val="Times"/>
      <family val="1"/>
    </font>
    <font>
      <i/>
      <sz val="10"/>
      <color theme="1"/>
      <name val="Times New Roman"/>
      <family val="1"/>
    </font>
    <font>
      <i/>
      <sz val="10"/>
      <color rgb="FF000000"/>
      <name val="Times"/>
    </font>
    <font>
      <b/>
      <sz val="14"/>
      <color rgb="FF000000"/>
      <name val="Times"/>
      <family val="1"/>
    </font>
    <font>
      <sz val="11"/>
      <color theme="1"/>
      <name val="Calibri Light"/>
      <family val="2"/>
    </font>
    <font>
      <sz val="11"/>
      <color theme="1"/>
      <name val="Calibri"/>
      <family val="2"/>
      <scheme val="minor"/>
    </font>
    <font>
      <sz val="8"/>
      <color indexed="8"/>
      <name val="Calibri Light"/>
      <family val="2"/>
    </font>
    <font>
      <b/>
      <i/>
      <sz val="12"/>
      <name val="Calibri Light"/>
      <family val="2"/>
    </font>
    <font>
      <b/>
      <sz val="16"/>
      <name val="Calibri Light"/>
      <family val="2"/>
    </font>
    <font>
      <b/>
      <i/>
      <sz val="8"/>
      <color indexed="8"/>
      <name val="Calibri Light"/>
      <family val="2"/>
    </font>
    <font>
      <b/>
      <sz val="12"/>
      <name val="Calibri Light"/>
      <family val="2"/>
    </font>
    <font>
      <b/>
      <sz val="12"/>
      <color theme="1"/>
      <name val="Calibri Light"/>
      <family val="2"/>
    </font>
    <font>
      <b/>
      <sz val="10"/>
      <color theme="1"/>
      <name val="Calibri Light"/>
      <family val="2"/>
    </font>
    <font>
      <sz val="10"/>
      <color theme="1"/>
      <name val="Calibri Light"/>
      <family val="2"/>
    </font>
    <font>
      <b/>
      <sz val="10"/>
      <color theme="4" tint="-0.249977111117893"/>
      <name val="Calibri Light"/>
      <family val="2"/>
    </font>
    <font>
      <b/>
      <sz val="16"/>
      <color theme="1"/>
      <name val="Calibri Light"/>
      <family val="2"/>
    </font>
    <font>
      <sz val="10"/>
      <color rgb="FF0000FF"/>
      <name val="Calibri Light"/>
      <family val="2"/>
    </font>
    <font>
      <sz val="8"/>
      <color theme="1"/>
      <name val="Calibri Light"/>
      <family val="2"/>
    </font>
    <font>
      <sz val="16"/>
      <color indexed="8"/>
      <name val="Calibri Light"/>
      <family val="2"/>
    </font>
    <font>
      <u/>
      <sz val="14"/>
      <name val="Geneva"/>
      <family val="2"/>
    </font>
    <font>
      <sz val="20"/>
      <color theme="1"/>
      <name val="Calibri"/>
      <family val="2"/>
      <scheme val="minor"/>
    </font>
    <font>
      <u/>
      <sz val="9"/>
      <color theme="10"/>
      <name val="Verdana"/>
      <family val="2"/>
    </font>
    <font>
      <sz val="9"/>
      <color theme="1"/>
      <name val="Verdana"/>
      <family val="2"/>
    </font>
    <font>
      <u/>
      <sz val="10"/>
      <color theme="10"/>
      <name val="Verdana"/>
      <family val="2"/>
    </font>
    <font>
      <sz val="14"/>
      <color theme="1"/>
      <name val="Arial"/>
      <family val="2"/>
    </font>
    <font>
      <b/>
      <sz val="10"/>
      <color theme="0"/>
      <name val="Arial"/>
      <family val="2"/>
    </font>
    <font>
      <b/>
      <sz val="14"/>
      <color theme="0"/>
      <name val="Arial"/>
      <family val="2"/>
    </font>
    <font>
      <sz val="9"/>
      <color theme="1"/>
      <name val="Symbol"/>
      <family val="5"/>
      <charset val="2"/>
    </font>
    <font>
      <sz val="9"/>
      <color theme="1"/>
      <name val="Verdana"/>
      <family val="2"/>
      <charset val="2"/>
    </font>
    <font>
      <sz val="22"/>
      <name val="Verdana"/>
      <family val="2"/>
    </font>
    <font>
      <u/>
      <sz val="14"/>
      <color theme="10"/>
      <name val="Verdana"/>
      <family val="2"/>
    </font>
    <font>
      <sz val="8"/>
      <name val="Verdana"/>
      <family val="2"/>
    </font>
    <font>
      <b/>
      <sz val="14"/>
      <color theme="1"/>
      <name val="Arial"/>
      <family val="2"/>
    </font>
    <font>
      <sz val="10"/>
      <color theme="1"/>
      <name val="Symbol"/>
      <family val="2"/>
      <charset val="2"/>
    </font>
    <font>
      <sz val="20"/>
      <name val="Segoe UI"/>
      <family val="2"/>
    </font>
    <font>
      <b/>
      <sz val="12"/>
      <color theme="0"/>
      <name val="Arial"/>
      <family val="2"/>
    </font>
    <font>
      <sz val="20"/>
      <color theme="1"/>
      <name val="Verdana"/>
      <family val="2"/>
    </font>
  </fonts>
  <fills count="1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/>
        <bgColor theme="4"/>
      </patternFill>
    </fill>
  </fills>
  <borders count="9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auto="1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/>
      <top style="thin">
        <color auto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theme="0"/>
      </top>
      <bottom/>
      <diagonal/>
    </border>
    <border>
      <left style="thin">
        <color auto="1"/>
      </left>
      <right style="thin">
        <color theme="4" tint="0.39997558519241921"/>
      </right>
      <top style="thin">
        <color theme="0"/>
      </top>
      <bottom style="thin">
        <color theme="4" tint="0.39997558519241921"/>
      </bottom>
      <diagonal/>
    </border>
    <border>
      <left style="thin">
        <color auto="1"/>
      </left>
      <right style="thin">
        <color theme="4" tint="0.39997558519241921"/>
      </right>
      <top style="medium">
        <color rgb="FF000000"/>
      </top>
      <bottom style="thin">
        <color theme="4" tint="0.39997558519241921"/>
      </bottom>
      <diagonal/>
    </border>
    <border>
      <left style="thin">
        <color theme="0"/>
      </left>
      <right style="thin">
        <color theme="4" tint="0.39997558519241921"/>
      </right>
      <top style="medium">
        <color rgb="FF000000"/>
      </top>
      <bottom style="thin">
        <color theme="4" tint="0.39997558519241921"/>
      </bottom>
      <diagonal/>
    </border>
    <border>
      <left style="medium">
        <color indexed="64"/>
      </left>
      <right style="thin">
        <color theme="4" tint="0.39997558519241921"/>
      </right>
      <top style="medium">
        <color rgb="FF000000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theme="4" tint="0.39997558519241921"/>
      </right>
      <top/>
      <bottom/>
      <diagonal/>
    </border>
    <border>
      <left style="medium">
        <color indexed="64"/>
      </left>
      <right style="thin">
        <color theme="4" tint="0.39997558519241921"/>
      </right>
      <top style="medium">
        <color indexed="64"/>
      </top>
      <bottom style="thin">
        <color theme="4" tint="0.39997558519241921"/>
      </bottom>
      <diagonal/>
    </border>
  </borders>
  <cellStyleXfs count="8">
    <xf numFmtId="0" fontId="0" fillId="0" borderId="0"/>
    <xf numFmtId="174" fontId="9" fillId="0" borderId="0" applyFont="0" applyFill="0" applyBorder="0" applyAlignment="0" applyProtection="0"/>
    <xf numFmtId="41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3" fillId="0" borderId="0"/>
    <xf numFmtId="178" fontId="73" fillId="0" borderId="0" applyFont="0" applyFill="0" applyBorder="0" applyAlignment="0" applyProtection="0"/>
    <xf numFmtId="0" fontId="89" fillId="0" borderId="0" applyNumberFormat="0" applyFill="0" applyBorder="0" applyAlignment="0" applyProtection="0"/>
  </cellStyleXfs>
  <cellXfs count="823">
    <xf numFmtId="0" fontId="0" fillId="0" borderId="0" xfId="0"/>
    <xf numFmtId="41" fontId="0" fillId="0" borderId="0" xfId="2" applyFont="1"/>
    <xf numFmtId="0" fontId="0" fillId="0" borderId="1" xfId="0" applyBorder="1"/>
    <xf numFmtId="167" fontId="0" fillId="0" borderId="1" xfId="3" applyNumberFormat="1" applyFont="1" applyBorder="1"/>
    <xf numFmtId="10" fontId="0" fillId="0" borderId="0" xfId="3" applyNumberFormat="1" applyFont="1"/>
    <xf numFmtId="10" fontId="0" fillId="0" borderId="1" xfId="3" applyNumberFormat="1" applyFont="1" applyBorder="1"/>
    <xf numFmtId="169" fontId="0" fillId="0" borderId="1" xfId="0" applyNumberFormat="1" applyBorder="1"/>
    <xf numFmtId="0" fontId="0" fillId="0" borderId="2" xfId="0" applyBorder="1"/>
    <xf numFmtId="0" fontId="0" fillId="0" borderId="3" xfId="0" applyBorder="1"/>
    <xf numFmtId="167" fontId="1" fillId="0" borderId="4" xfId="3" applyNumberFormat="1" applyFont="1" applyBorder="1"/>
    <xf numFmtId="41" fontId="0" fillId="0" borderId="1" xfId="2" applyFont="1" applyBorder="1"/>
    <xf numFmtId="9" fontId="0" fillId="0" borderId="0" xfId="0" applyNumberFormat="1"/>
    <xf numFmtId="0" fontId="0" fillId="0" borderId="5" xfId="0" applyBorder="1"/>
    <xf numFmtId="171" fontId="0" fillId="0" borderId="0" xfId="0" applyNumberFormat="1"/>
    <xf numFmtId="171" fontId="0" fillId="0" borderId="1" xfId="2" applyNumberFormat="1" applyFont="1" applyBorder="1"/>
    <xf numFmtId="171" fontId="1" fillId="0" borderId="1" xfId="2" applyNumberFormat="1" applyFont="1" applyBorder="1"/>
    <xf numFmtId="171" fontId="0" fillId="0" borderId="0" xfId="2" applyNumberFormat="1" applyFont="1" applyBorder="1" applyAlignment="1">
      <alignment horizontal="center"/>
    </xf>
    <xf numFmtId="0" fontId="0" fillId="2" borderId="6" xfId="0" applyFill="1" applyBorder="1"/>
    <xf numFmtId="171" fontId="0" fillId="2" borderId="1" xfId="2" applyNumberFormat="1" applyFont="1" applyFill="1" applyBorder="1"/>
    <xf numFmtId="0" fontId="0" fillId="3" borderId="6" xfId="0" applyFill="1" applyBorder="1"/>
    <xf numFmtId="171" fontId="0" fillId="3" borderId="1" xfId="2" applyNumberFormat="1" applyFont="1" applyFill="1" applyBorder="1"/>
    <xf numFmtId="10" fontId="0" fillId="0" borderId="0" xfId="0" applyNumberFormat="1"/>
    <xf numFmtId="0" fontId="0" fillId="0" borderId="7" xfId="0" applyBorder="1"/>
    <xf numFmtId="0" fontId="0" fillId="0" borderId="8" xfId="0" applyBorder="1"/>
    <xf numFmtId="2" fontId="0" fillId="0" borderId="1" xfId="0" applyNumberFormat="1" applyBorder="1"/>
    <xf numFmtId="0" fontId="0" fillId="0" borderId="9" xfId="0" applyBorder="1"/>
    <xf numFmtId="0" fontId="11" fillId="0" borderId="0" xfId="0" applyFont="1"/>
    <xf numFmtId="0" fontId="3" fillId="0" borderId="0" xfId="0" applyFont="1"/>
    <xf numFmtId="171" fontId="0" fillId="0" borderId="0" xfId="2" applyNumberFormat="1" applyFont="1"/>
    <xf numFmtId="43" fontId="0" fillId="0" borderId="0" xfId="0" applyNumberFormat="1"/>
    <xf numFmtId="0" fontId="5" fillId="0" borderId="0" xfId="0" applyFont="1" applyAlignment="1">
      <alignment horizontal="center"/>
    </xf>
    <xf numFmtId="9" fontId="0" fillId="0" borderId="3" xfId="0" applyNumberFormat="1" applyBorder="1"/>
    <xf numFmtId="9" fontId="0" fillId="0" borderId="0" xfId="3" applyFont="1"/>
    <xf numFmtId="0" fontId="14" fillId="0" borderId="0" xfId="0" applyFont="1"/>
    <xf numFmtId="171" fontId="14" fillId="0" borderId="0" xfId="0" applyNumberFormat="1" applyFont="1"/>
    <xf numFmtId="167" fontId="1" fillId="0" borderId="4" xfId="0" applyNumberFormat="1" applyFont="1" applyBorder="1"/>
    <xf numFmtId="0" fontId="15" fillId="0" borderId="0" xfId="0" applyFont="1"/>
    <xf numFmtId="43" fontId="15" fillId="0" borderId="3" xfId="0" applyNumberFormat="1" applyFont="1" applyBorder="1"/>
    <xf numFmtId="41" fontId="0" fillId="0" borderId="10" xfId="0" applyNumberFormat="1" applyBorder="1"/>
    <xf numFmtId="41" fontId="0" fillId="0" borderId="2" xfId="0" applyNumberFormat="1" applyBorder="1"/>
    <xf numFmtId="41" fontId="15" fillId="0" borderId="2" xfId="0" applyNumberFormat="1" applyFont="1" applyBorder="1"/>
    <xf numFmtId="41" fontId="0" fillId="0" borderId="11" xfId="0" applyNumberFormat="1" applyBorder="1"/>
    <xf numFmtId="171" fontId="0" fillId="0" borderId="12" xfId="2" applyNumberFormat="1" applyFont="1" applyBorder="1"/>
    <xf numFmtId="171" fontId="0" fillId="0" borderId="13" xfId="2" applyNumberFormat="1" applyFont="1" applyBorder="1"/>
    <xf numFmtId="43" fontId="0" fillId="0" borderId="1" xfId="0" applyNumberFormat="1" applyBorder="1"/>
    <xf numFmtId="167" fontId="0" fillId="0" borderId="0" xfId="3" applyNumberFormat="1" applyFont="1"/>
    <xf numFmtId="0" fontId="8" fillId="0" borderId="0" xfId="0" applyFont="1"/>
    <xf numFmtId="0" fontId="16" fillId="0" borderId="0" xfId="0" applyFont="1" applyAlignment="1">
      <alignment horizontal="center"/>
    </xf>
    <xf numFmtId="171" fontId="8" fillId="0" borderId="0" xfId="2" applyNumberFormat="1" applyFont="1"/>
    <xf numFmtId="41" fontId="8" fillId="0" borderId="0" xfId="2" applyFont="1"/>
    <xf numFmtId="9" fontId="8" fillId="0" borderId="0" xfId="3" applyFont="1"/>
    <xf numFmtId="43" fontId="8" fillId="0" borderId="0" xfId="0" applyNumberFormat="1" applyFont="1"/>
    <xf numFmtId="167" fontId="8" fillId="0" borderId="0" xfId="3" applyNumberFormat="1" applyFont="1"/>
    <xf numFmtId="9" fontId="8" fillId="0" borderId="0" xfId="0" applyNumberFormat="1" applyFont="1"/>
    <xf numFmtId="167" fontId="8" fillId="0" borderId="0" xfId="0" applyNumberFormat="1" applyFont="1"/>
    <xf numFmtId="41" fontId="8" fillId="0" borderId="0" xfId="0" applyNumberFormat="1" applyFont="1"/>
    <xf numFmtId="2" fontId="8" fillId="0" borderId="0" xfId="0" applyNumberFormat="1" applyFont="1"/>
    <xf numFmtId="168" fontId="8" fillId="0" borderId="0" xfId="0" applyNumberFormat="1" applyFont="1"/>
    <xf numFmtId="9" fontId="8" fillId="0" borderId="0" xfId="3" applyFont="1" applyAlignment="1">
      <alignment horizontal="center"/>
    </xf>
    <xf numFmtId="9" fontId="8" fillId="0" borderId="0" xfId="0" applyNumberFormat="1" applyFont="1" applyAlignment="1">
      <alignment horizontal="center"/>
    </xf>
    <xf numFmtId="167" fontId="8" fillId="0" borderId="0" xfId="3" applyNumberFormat="1" applyFont="1" applyAlignment="1">
      <alignment horizontal="center"/>
    </xf>
    <xf numFmtId="0" fontId="12" fillId="0" borderId="0" xfId="0" applyFont="1" applyAlignment="1">
      <alignment horizontal="center"/>
    </xf>
    <xf numFmtId="171" fontId="12" fillId="0" borderId="0" xfId="2" applyNumberFormat="1" applyFont="1"/>
    <xf numFmtId="41" fontId="12" fillId="0" borderId="0" xfId="2" applyFont="1"/>
    <xf numFmtId="43" fontId="12" fillId="0" borderId="0" xfId="0" applyNumberFormat="1" applyFont="1"/>
    <xf numFmtId="0" fontId="12" fillId="0" borderId="0" xfId="0" applyFont="1"/>
    <xf numFmtId="167" fontId="12" fillId="0" borderId="0" xfId="3" applyNumberFormat="1" applyFont="1"/>
    <xf numFmtId="2" fontId="12" fillId="0" borderId="0" xfId="0" applyNumberFormat="1" applyFont="1"/>
    <xf numFmtId="41" fontId="12" fillId="0" borderId="0" xfId="0" applyNumberFormat="1" applyFont="1"/>
    <xf numFmtId="168" fontId="12" fillId="0" borderId="0" xfId="0" applyNumberFormat="1" applyFont="1"/>
    <xf numFmtId="10" fontId="12" fillId="0" borderId="0" xfId="3" applyNumberFormat="1" applyFont="1"/>
    <xf numFmtId="43" fontId="16" fillId="0" borderId="14" xfId="0" applyNumberFormat="1" applyFont="1" applyBorder="1"/>
    <xf numFmtId="0" fontId="12" fillId="0" borderId="15" xfId="0" applyFont="1" applyBorder="1" applyAlignment="1">
      <alignment horizontal="center"/>
    </xf>
    <xf numFmtId="41" fontId="12" fillId="0" borderId="16" xfId="2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9" fontId="16" fillId="0" borderId="18" xfId="0" applyNumberFormat="1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167" fontId="16" fillId="0" borderId="19" xfId="3" applyNumberFormat="1" applyFont="1" applyBorder="1" applyAlignment="1">
      <alignment horizontal="center"/>
    </xf>
    <xf numFmtId="43" fontId="16" fillId="0" borderId="13" xfId="0" applyNumberFormat="1" applyFont="1" applyBorder="1" applyAlignment="1">
      <alignment horizontal="center"/>
    </xf>
    <xf numFmtId="167" fontId="8" fillId="0" borderId="0" xfId="0" applyNumberFormat="1" applyFont="1" applyAlignment="1">
      <alignment horizontal="center"/>
    </xf>
    <xf numFmtId="43" fontId="12" fillId="0" borderId="0" xfId="0" applyNumberFormat="1" applyFont="1" applyAlignment="1">
      <alignment horizontal="center"/>
    </xf>
    <xf numFmtId="10" fontId="12" fillId="4" borderId="0" xfId="3" applyNumberFormat="1" applyFont="1" applyFill="1" applyAlignment="1">
      <alignment horizontal="center"/>
    </xf>
    <xf numFmtId="167" fontId="3" fillId="0" borderId="0" xfId="3" applyNumberFormat="1" applyFont="1"/>
    <xf numFmtId="43" fontId="12" fillId="0" borderId="0" xfId="3" applyNumberFormat="1" applyFont="1" applyFill="1" applyAlignment="1">
      <alignment horizontal="center"/>
    </xf>
    <xf numFmtId="0" fontId="11" fillId="0" borderId="20" xfId="0" applyFont="1" applyBorder="1"/>
    <xf numFmtId="171" fontId="0" fillId="0" borderId="12" xfId="2" applyNumberFormat="1" applyFont="1" applyFill="1" applyBorder="1"/>
    <xf numFmtId="167" fontId="1" fillId="0" borderId="3" xfId="0" applyNumberFormat="1" applyFont="1" applyBorder="1"/>
    <xf numFmtId="41" fontId="0" fillId="0" borderId="0" xfId="0" applyNumberFormat="1"/>
    <xf numFmtId="167" fontId="15" fillId="0" borderId="3" xfId="3" applyNumberFormat="1" applyFont="1" applyBorder="1"/>
    <xf numFmtId="3" fontId="0" fillId="0" borderId="0" xfId="0" applyNumberFormat="1"/>
    <xf numFmtId="43" fontId="0" fillId="0" borderId="0" xfId="4" applyFont="1" applyBorder="1"/>
    <xf numFmtId="167" fontId="0" fillId="0" borderId="0" xfId="3" applyNumberFormat="1" applyFont="1" applyBorder="1"/>
    <xf numFmtId="43" fontId="0" fillId="0" borderId="0" xfId="4" applyFont="1"/>
    <xf numFmtId="9" fontId="0" fillId="4" borderId="0" xfId="3" applyFont="1" applyFill="1" applyBorder="1"/>
    <xf numFmtId="10" fontId="0" fillId="4" borderId="21" xfId="0" applyNumberFormat="1" applyFill="1" applyBorder="1"/>
    <xf numFmtId="40" fontId="0" fillId="0" borderId="0" xfId="0" applyNumberFormat="1"/>
    <xf numFmtId="43" fontId="0" fillId="3" borderId="6" xfId="4" applyFont="1" applyFill="1" applyBorder="1"/>
    <xf numFmtId="166" fontId="0" fillId="0" borderId="0" xfId="0" applyNumberFormat="1"/>
    <xf numFmtId="165" fontId="0" fillId="0" borderId="0" xfId="0" applyNumberFormat="1"/>
    <xf numFmtId="171" fontId="3" fillId="0" borderId="1" xfId="2" applyNumberFormat="1" applyBorder="1"/>
    <xf numFmtId="171" fontId="3" fillId="0" borderId="0" xfId="2" applyNumberFormat="1" applyBorder="1" applyAlignment="1">
      <alignment horizontal="center"/>
    </xf>
    <xf numFmtId="171" fontId="3" fillId="2" borderId="1" xfId="2" applyNumberFormat="1" applyFill="1" applyBorder="1"/>
    <xf numFmtId="171" fontId="3" fillId="3" borderId="1" xfId="2" applyNumberFormat="1" applyFill="1" applyBorder="1"/>
    <xf numFmtId="43" fontId="3" fillId="3" borderId="6" xfId="4" applyFill="1" applyBorder="1"/>
    <xf numFmtId="43" fontId="3" fillId="0" borderId="1" xfId="0" applyNumberFormat="1" applyFont="1" applyBorder="1"/>
    <xf numFmtId="0" fontId="0" fillId="0" borderId="23" xfId="0" applyBorder="1"/>
    <xf numFmtId="167" fontId="1" fillId="0" borderId="19" xfId="0" applyNumberFormat="1" applyFont="1" applyBorder="1"/>
    <xf numFmtId="0" fontId="0" fillId="0" borderId="24" xfId="0" applyBorder="1"/>
    <xf numFmtId="41" fontId="0" fillId="0" borderId="24" xfId="2" applyFont="1" applyBorder="1"/>
    <xf numFmtId="171" fontId="0" fillId="0" borderId="24" xfId="2" applyNumberFormat="1" applyFont="1" applyBorder="1"/>
    <xf numFmtId="171" fontId="0" fillId="0" borderId="25" xfId="2" applyNumberFormat="1" applyFont="1" applyBorder="1"/>
    <xf numFmtId="171" fontId="0" fillId="0" borderId="24" xfId="0" applyNumberFormat="1" applyBorder="1"/>
    <xf numFmtId="171" fontId="15" fillId="0" borderId="24" xfId="2" applyNumberFormat="1" applyFont="1" applyBorder="1"/>
    <xf numFmtId="41" fontId="11" fillId="0" borderId="24" xfId="2" applyFont="1" applyBorder="1"/>
    <xf numFmtId="171" fontId="0" fillId="0" borderId="24" xfId="2" applyNumberFormat="1" applyFont="1" applyFill="1" applyBorder="1"/>
    <xf numFmtId="171" fontId="4" fillId="0" borderId="12" xfId="2" applyNumberFormat="1" applyFont="1" applyBorder="1"/>
    <xf numFmtId="171" fontId="15" fillId="0" borderId="1" xfId="2" applyNumberFormat="1" applyFont="1" applyBorder="1"/>
    <xf numFmtId="0" fontId="10" fillId="0" borderId="25" xfId="0" applyFont="1" applyBorder="1"/>
    <xf numFmtId="41" fontId="0" fillId="0" borderId="12" xfId="2" applyFont="1" applyBorder="1"/>
    <xf numFmtId="41" fontId="11" fillId="0" borderId="12" xfId="2" applyFont="1" applyBorder="1"/>
    <xf numFmtId="41" fontId="11" fillId="0" borderId="1" xfId="2" applyFont="1" applyBorder="1"/>
    <xf numFmtId="0" fontId="6" fillId="0" borderId="26" xfId="0" applyFont="1" applyBorder="1"/>
    <xf numFmtId="0" fontId="0" fillId="0" borderId="12" xfId="0" applyBorder="1"/>
    <xf numFmtId="171" fontId="7" fillId="0" borderId="26" xfId="0" applyNumberFormat="1" applyFont="1" applyBorder="1" applyAlignment="1">
      <alignment horizontal="center"/>
    </xf>
    <xf numFmtId="17" fontId="5" fillId="0" borderId="27" xfId="0" applyNumberFormat="1" applyFont="1" applyBorder="1" applyAlignment="1">
      <alignment horizontal="center"/>
    </xf>
    <xf numFmtId="0" fontId="6" fillId="0" borderId="23" xfId="0" applyFont="1" applyBorder="1"/>
    <xf numFmtId="171" fontId="0" fillId="0" borderId="28" xfId="2" applyNumberFormat="1" applyFont="1" applyBorder="1"/>
    <xf numFmtId="17" fontId="5" fillId="0" borderId="25" xfId="0" applyNumberFormat="1" applyFont="1" applyBorder="1" applyAlignment="1">
      <alignment horizontal="center"/>
    </xf>
    <xf numFmtId="171" fontId="13" fillId="0" borderId="24" xfId="2" applyNumberFormat="1" applyFont="1" applyBorder="1"/>
    <xf numFmtId="171" fontId="13" fillId="0" borderId="12" xfId="2" applyNumberFormat="1" applyFont="1" applyBorder="1"/>
    <xf numFmtId="3" fontId="0" fillId="0" borderId="24" xfId="0" applyNumberFormat="1" applyBorder="1"/>
    <xf numFmtId="171" fontId="8" fillId="0" borderId="24" xfId="2" applyNumberFormat="1" applyFont="1" applyBorder="1"/>
    <xf numFmtId="171" fontId="14" fillId="0" borderId="24" xfId="2" applyNumberFormat="1" applyFont="1" applyBorder="1"/>
    <xf numFmtId="0" fontId="6" fillId="0" borderId="25" xfId="0" applyFont="1" applyBorder="1"/>
    <xf numFmtId="0" fontId="1" fillId="0" borderId="24" xfId="0" applyFont="1" applyBorder="1"/>
    <xf numFmtId="0" fontId="13" fillId="0" borderId="12" xfId="0" applyFont="1" applyBorder="1" applyAlignment="1">
      <alignment wrapText="1"/>
    </xf>
    <xf numFmtId="0" fontId="6" fillId="0" borderId="24" xfId="0" applyFont="1" applyBorder="1"/>
    <xf numFmtId="0" fontId="13" fillId="0" borderId="24" xfId="0" applyFont="1" applyBorder="1" applyAlignment="1">
      <alignment wrapText="1"/>
    </xf>
    <xf numFmtId="0" fontId="14" fillId="0" borderId="24" xfId="0" applyFont="1" applyBorder="1"/>
    <xf numFmtId="171" fontId="14" fillId="0" borderId="25" xfId="2" applyNumberFormat="1" applyFont="1" applyBorder="1"/>
    <xf numFmtId="171" fontId="17" fillId="0" borderId="24" xfId="2" applyNumberFormat="1" applyFont="1" applyBorder="1"/>
    <xf numFmtId="171" fontId="18" fillId="0" borderId="24" xfId="0" applyNumberFormat="1" applyFont="1" applyBorder="1"/>
    <xf numFmtId="171" fontId="15" fillId="0" borderId="24" xfId="0" applyNumberFormat="1" applyFont="1" applyBorder="1"/>
    <xf numFmtId="43" fontId="0" fillId="0" borderId="25" xfId="0" applyNumberFormat="1" applyBorder="1"/>
    <xf numFmtId="43" fontId="0" fillId="0" borderId="24" xfId="0" applyNumberFormat="1" applyBorder="1"/>
    <xf numFmtId="43" fontId="0" fillId="0" borderId="12" xfId="0" applyNumberFormat="1" applyBorder="1"/>
    <xf numFmtId="17" fontId="5" fillId="0" borderId="1" xfId="0" applyNumberFormat="1" applyFont="1" applyBorder="1" applyAlignment="1">
      <alignment horizontal="center"/>
    </xf>
    <xf numFmtId="0" fontId="0" fillId="0" borderId="25" xfId="0" applyBorder="1"/>
    <xf numFmtId="0" fontId="3" fillId="0" borderId="24" xfId="0" applyFont="1" applyBorder="1"/>
    <xf numFmtId="171" fontId="0" fillId="0" borderId="25" xfId="0" applyNumberFormat="1" applyBorder="1"/>
    <xf numFmtId="2" fontId="0" fillId="0" borderId="24" xfId="0" applyNumberFormat="1" applyBorder="1"/>
    <xf numFmtId="167" fontId="0" fillId="0" borderId="24" xfId="3" applyNumberFormat="1" applyFont="1" applyBorder="1"/>
    <xf numFmtId="43" fontId="0" fillId="0" borderId="24" xfId="4" applyFont="1" applyBorder="1"/>
    <xf numFmtId="9" fontId="0" fillId="0" borderId="24" xfId="3" applyFont="1" applyBorder="1"/>
    <xf numFmtId="10" fontId="3" fillId="0" borderId="24" xfId="0" applyNumberFormat="1" applyFont="1" applyBorder="1"/>
    <xf numFmtId="10" fontId="0" fillId="0" borderId="12" xfId="3" applyNumberFormat="1" applyFont="1" applyBorder="1"/>
    <xf numFmtId="10" fontId="3" fillId="0" borderId="24" xfId="3" applyNumberFormat="1" applyFont="1" applyBorder="1"/>
    <xf numFmtId="171" fontId="0" fillId="0" borderId="30" xfId="0" applyNumberFormat="1" applyBorder="1"/>
    <xf numFmtId="171" fontId="4" fillId="0" borderId="31" xfId="2" applyNumberFormat="1" applyFont="1" applyBorder="1"/>
    <xf numFmtId="9" fontId="0" fillId="0" borderId="32" xfId="3" applyFont="1" applyBorder="1"/>
    <xf numFmtId="41" fontId="0" fillId="0" borderId="33" xfId="2" applyFont="1" applyBorder="1"/>
    <xf numFmtId="171" fontId="4" fillId="0" borderId="34" xfId="2" applyNumberFormat="1" applyFont="1" applyBorder="1"/>
    <xf numFmtId="167" fontId="1" fillId="0" borderId="9" xfId="3" applyNumberFormat="1" applyFont="1" applyBorder="1"/>
    <xf numFmtId="167" fontId="1" fillId="0" borderId="3" xfId="3" applyNumberFormat="1" applyFont="1" applyBorder="1"/>
    <xf numFmtId="171" fontId="1" fillId="0" borderId="35" xfId="2" applyNumberFormat="1" applyFont="1" applyBorder="1"/>
    <xf numFmtId="171" fontId="0" fillId="0" borderId="33" xfId="2" applyNumberFormat="1" applyFont="1" applyBorder="1"/>
    <xf numFmtId="171" fontId="1" fillId="0" borderId="18" xfId="2" applyNumberFormat="1" applyFont="1" applyBorder="1"/>
    <xf numFmtId="167" fontId="1" fillId="0" borderId="19" xfId="3" applyNumberFormat="1" applyFont="1" applyBorder="1"/>
    <xf numFmtId="41" fontId="0" fillId="0" borderId="25" xfId="2" applyFont="1" applyBorder="1"/>
    <xf numFmtId="43" fontId="15" fillId="0" borderId="0" xfId="0" applyNumberFormat="1" applyFont="1"/>
    <xf numFmtId="0" fontId="19" fillId="0" borderId="0" xfId="0" applyFont="1"/>
    <xf numFmtId="0" fontId="20" fillId="0" borderId="36" xfId="0" applyFont="1" applyBorder="1" applyAlignment="1">
      <alignment horizontal="center" wrapText="1"/>
    </xf>
    <xf numFmtId="4" fontId="21" fillId="0" borderId="17" xfId="0" applyNumberFormat="1" applyFont="1" applyBorder="1"/>
    <xf numFmtId="0" fontId="22" fillId="0" borderId="0" xfId="0" applyFont="1"/>
    <xf numFmtId="0" fontId="24" fillId="0" borderId="0" xfId="0" applyFont="1"/>
    <xf numFmtId="0" fontId="24" fillId="0" borderId="2" xfId="0" applyFont="1" applyBorder="1"/>
    <xf numFmtId="0" fontId="24" fillId="0" borderId="37" xfId="0" applyFont="1" applyBorder="1"/>
    <xf numFmtId="4" fontId="24" fillId="0" borderId="0" xfId="0" applyNumberFormat="1" applyFont="1"/>
    <xf numFmtId="41" fontId="22" fillId="0" borderId="0" xfId="2" applyFont="1"/>
    <xf numFmtId="10" fontId="21" fillId="0" borderId="4" xfId="0" applyNumberFormat="1" applyFont="1" applyBorder="1"/>
    <xf numFmtId="9" fontId="22" fillId="0" borderId="0" xfId="0" applyNumberFormat="1" applyFont="1"/>
    <xf numFmtId="171" fontId="21" fillId="0" borderId="19" xfId="2" applyNumberFormat="1" applyFont="1" applyBorder="1"/>
    <xf numFmtId="10" fontId="21" fillId="0" borderId="37" xfId="3" applyNumberFormat="1" applyFont="1" applyBorder="1"/>
    <xf numFmtId="0" fontId="21" fillId="0" borderId="37" xfId="0" applyFont="1" applyBorder="1"/>
    <xf numFmtId="171" fontId="21" fillId="0" borderId="17" xfId="0" applyNumberFormat="1" applyFont="1" applyBorder="1"/>
    <xf numFmtId="43" fontId="21" fillId="0" borderId="4" xfId="4" applyFont="1" applyBorder="1"/>
    <xf numFmtId="9" fontId="22" fillId="0" borderId="0" xfId="3" applyFont="1"/>
    <xf numFmtId="0" fontId="21" fillId="0" borderId="4" xfId="0" applyFont="1" applyBorder="1"/>
    <xf numFmtId="43" fontId="22" fillId="0" borderId="0" xfId="0" applyNumberFormat="1" applyFont="1"/>
    <xf numFmtId="171" fontId="21" fillId="0" borderId="4" xfId="0" applyNumberFormat="1" applyFont="1" applyBorder="1"/>
    <xf numFmtId="4" fontId="22" fillId="0" borderId="0" xfId="0" applyNumberFormat="1" applyFont="1"/>
    <xf numFmtId="4" fontId="21" fillId="0" borderId="4" xfId="0" applyNumberFormat="1" applyFont="1" applyBorder="1"/>
    <xf numFmtId="4" fontId="21" fillId="0" borderId="19" xfId="0" applyNumberFormat="1" applyFont="1" applyBorder="1"/>
    <xf numFmtId="171" fontId="22" fillId="0" borderId="0" xfId="2" applyNumberFormat="1" applyFont="1"/>
    <xf numFmtId="10" fontId="22" fillId="0" borderId="0" xfId="3" applyNumberFormat="1" applyFont="1"/>
    <xf numFmtId="170" fontId="22" fillId="0" borderId="0" xfId="0" applyNumberFormat="1" applyFont="1"/>
    <xf numFmtId="9" fontId="25" fillId="0" borderId="0" xfId="3" applyFont="1" applyAlignment="1">
      <alignment horizontal="center"/>
    </xf>
    <xf numFmtId="0" fontId="26" fillId="0" borderId="0" xfId="0" applyFont="1"/>
    <xf numFmtId="170" fontId="26" fillId="0" borderId="0" xfId="0" applyNumberFormat="1" applyFont="1"/>
    <xf numFmtId="41" fontId="26" fillId="4" borderId="14" xfId="2" applyFont="1" applyFill="1" applyBorder="1"/>
    <xf numFmtId="41" fontId="26" fillId="4" borderId="38" xfId="2" applyFont="1" applyFill="1" applyBorder="1" applyAlignment="1"/>
    <xf numFmtId="10" fontId="26" fillId="4" borderId="20" xfId="0" applyNumberFormat="1" applyFont="1" applyFill="1" applyBorder="1"/>
    <xf numFmtId="171" fontId="26" fillId="0" borderId="39" xfId="2" applyNumberFormat="1" applyFont="1" applyBorder="1"/>
    <xf numFmtId="171" fontId="26" fillId="0" borderId="12" xfId="2" applyNumberFormat="1" applyFont="1" applyBorder="1"/>
    <xf numFmtId="171" fontId="26" fillId="0" borderId="9" xfId="2" applyNumberFormat="1" applyFont="1" applyBorder="1"/>
    <xf numFmtId="10" fontId="26" fillId="4" borderId="22" xfId="0" applyNumberFormat="1" applyFont="1" applyFill="1" applyBorder="1"/>
    <xf numFmtId="171" fontId="26" fillId="0" borderId="40" xfId="2" applyNumberFormat="1" applyFont="1" applyBorder="1"/>
    <xf numFmtId="171" fontId="26" fillId="0" borderId="1" xfId="2" applyNumberFormat="1" applyFont="1" applyBorder="1"/>
    <xf numFmtId="171" fontId="26" fillId="0" borderId="4" xfId="2" applyNumberFormat="1" applyFont="1" applyBorder="1"/>
    <xf numFmtId="171" fontId="26" fillId="0" borderId="41" xfId="2" applyNumberFormat="1" applyFont="1" applyBorder="1"/>
    <xf numFmtId="171" fontId="26" fillId="0" borderId="13" xfId="2" applyNumberFormat="1" applyFont="1" applyBorder="1"/>
    <xf numFmtId="171" fontId="26" fillId="0" borderId="19" xfId="2" applyNumberFormat="1" applyFont="1" applyBorder="1"/>
    <xf numFmtId="171" fontId="21" fillId="5" borderId="4" xfId="2" applyNumberFormat="1" applyFont="1" applyFill="1" applyBorder="1" applyProtection="1">
      <protection locked="0"/>
    </xf>
    <xf numFmtId="41" fontId="0" fillId="0" borderId="5" xfId="0" applyNumberFormat="1" applyBorder="1"/>
    <xf numFmtId="167" fontId="0" fillId="4" borderId="3" xfId="3" applyNumberFormat="1" applyFont="1" applyFill="1" applyBorder="1"/>
    <xf numFmtId="171" fontId="4" fillId="0" borderId="27" xfId="2" applyNumberFormat="1" applyFont="1" applyBorder="1"/>
    <xf numFmtId="41" fontId="0" fillId="0" borderId="28" xfId="2" applyFont="1" applyBorder="1"/>
    <xf numFmtId="171" fontId="4" fillId="0" borderId="39" xfId="2" applyNumberFormat="1" applyFont="1" applyBorder="1"/>
    <xf numFmtId="171" fontId="1" fillId="0" borderId="40" xfId="2" applyNumberFormat="1" applyFont="1" applyBorder="1"/>
    <xf numFmtId="41" fontId="0" fillId="0" borderId="31" xfId="2" applyFont="1" applyBorder="1"/>
    <xf numFmtId="0" fontId="0" fillId="0" borderId="37" xfId="0" applyBorder="1"/>
    <xf numFmtId="167" fontId="1" fillId="0" borderId="42" xfId="3" applyNumberFormat="1" applyFont="1" applyBorder="1"/>
    <xf numFmtId="43" fontId="15" fillId="0" borderId="37" xfId="0" applyNumberFormat="1" applyFont="1" applyBorder="1"/>
    <xf numFmtId="9" fontId="0" fillId="0" borderId="37" xfId="0" applyNumberFormat="1" applyBorder="1"/>
    <xf numFmtId="167" fontId="1" fillId="0" borderId="43" xfId="3" applyNumberFormat="1" applyFont="1" applyBorder="1"/>
    <xf numFmtId="41" fontId="0" fillId="0" borderId="34" xfId="2" applyFont="1" applyBorder="1"/>
    <xf numFmtId="0" fontId="0" fillId="0" borderId="43" xfId="0" applyBorder="1"/>
    <xf numFmtId="167" fontId="1" fillId="0" borderId="44" xfId="3" applyNumberFormat="1" applyFont="1" applyBorder="1"/>
    <xf numFmtId="167" fontId="0" fillId="0" borderId="3" xfId="3" applyNumberFormat="1" applyFont="1" applyBorder="1"/>
    <xf numFmtId="167" fontId="0" fillId="0" borderId="9" xfId="3" applyNumberFormat="1" applyFont="1" applyBorder="1"/>
    <xf numFmtId="10" fontId="1" fillId="0" borderId="4" xfId="3" applyNumberFormat="1" applyFont="1" applyBorder="1"/>
    <xf numFmtId="10" fontId="0" fillId="0" borderId="3" xfId="3" applyNumberFormat="1" applyFont="1" applyBorder="1"/>
    <xf numFmtId="10" fontId="0" fillId="4" borderId="3" xfId="3" applyNumberFormat="1" applyFont="1" applyFill="1" applyBorder="1"/>
    <xf numFmtId="10" fontId="0" fillId="0" borderId="3" xfId="0" applyNumberFormat="1" applyBorder="1"/>
    <xf numFmtId="10" fontId="0" fillId="0" borderId="9" xfId="0" applyNumberFormat="1" applyBorder="1"/>
    <xf numFmtId="10" fontId="1" fillId="0" borderId="4" xfId="0" applyNumberFormat="1" applyFont="1" applyBorder="1"/>
    <xf numFmtId="0" fontId="25" fillId="0" borderId="0" xfId="0" applyFont="1"/>
    <xf numFmtId="43" fontId="12" fillId="0" borderId="0" xfId="4" applyFont="1"/>
    <xf numFmtId="0" fontId="2" fillId="0" borderId="0" xfId="0" applyFont="1"/>
    <xf numFmtId="0" fontId="27" fillId="0" borderId="0" xfId="0" applyFont="1"/>
    <xf numFmtId="43" fontId="27" fillId="0" borderId="0" xfId="0" applyNumberFormat="1" applyFont="1"/>
    <xf numFmtId="0" fontId="28" fillId="0" borderId="0" xfId="0" applyFont="1"/>
    <xf numFmtId="43" fontId="8" fillId="0" borderId="0" xfId="4" applyFont="1"/>
    <xf numFmtId="43" fontId="28" fillId="0" borderId="0" xfId="4" applyFont="1"/>
    <xf numFmtId="0" fontId="16" fillId="0" borderId="45" xfId="0" applyFont="1" applyBorder="1" applyAlignment="1">
      <alignment horizontal="center"/>
    </xf>
    <xf numFmtId="0" fontId="0" fillId="0" borderId="46" xfId="0" applyBorder="1"/>
    <xf numFmtId="0" fontId="16" fillId="0" borderId="46" xfId="0" applyFont="1" applyBorder="1" applyAlignment="1">
      <alignment horizontal="center"/>
    </xf>
    <xf numFmtId="0" fontId="16" fillId="0" borderId="47" xfId="0" applyFont="1" applyBorder="1" applyAlignment="1">
      <alignment horizontal="center"/>
    </xf>
    <xf numFmtId="41" fontId="12" fillId="0" borderId="2" xfId="2" applyFont="1" applyBorder="1"/>
    <xf numFmtId="41" fontId="12" fillId="0" borderId="37" xfId="2" applyFont="1" applyBorder="1"/>
    <xf numFmtId="171" fontId="12" fillId="0" borderId="2" xfId="2" applyNumberFormat="1" applyFont="1" applyBorder="1"/>
    <xf numFmtId="167" fontId="8" fillId="0" borderId="0" xfId="3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43" fontId="12" fillId="0" borderId="2" xfId="0" applyNumberFormat="1" applyFont="1" applyBorder="1"/>
    <xf numFmtId="43" fontId="12" fillId="0" borderId="37" xfId="0" applyNumberFormat="1" applyFont="1" applyBorder="1"/>
    <xf numFmtId="171" fontId="8" fillId="0" borderId="0" xfId="2" applyNumberFormat="1" applyFont="1" applyBorder="1"/>
    <xf numFmtId="171" fontId="12" fillId="0" borderId="37" xfId="2" applyNumberFormat="1" applyFont="1" applyBorder="1"/>
    <xf numFmtId="0" fontId="12" fillId="0" borderId="2" xfId="0" applyFont="1" applyBorder="1"/>
    <xf numFmtId="0" fontId="12" fillId="0" borderId="7" xfId="0" applyFont="1" applyBorder="1"/>
    <xf numFmtId="171" fontId="8" fillId="0" borderId="8" xfId="2" applyNumberFormat="1" applyFont="1" applyBorder="1"/>
    <xf numFmtId="167" fontId="8" fillId="0" borderId="8" xfId="3" applyNumberFormat="1" applyFont="1" applyBorder="1" applyAlignment="1">
      <alignment horizontal="center"/>
    </xf>
    <xf numFmtId="171" fontId="12" fillId="0" borderId="48" xfId="2" applyNumberFormat="1" applyFont="1" applyBorder="1"/>
    <xf numFmtId="0" fontId="8" fillId="0" borderId="45" xfId="0" applyFont="1" applyBorder="1"/>
    <xf numFmtId="0" fontId="0" fillId="0" borderId="47" xfId="0" applyBorder="1"/>
    <xf numFmtId="0" fontId="8" fillId="0" borderId="2" xfId="0" applyFont="1" applyBorder="1"/>
    <xf numFmtId="41" fontId="12" fillId="0" borderId="0" xfId="2" applyFont="1" applyBorder="1"/>
    <xf numFmtId="167" fontId="8" fillId="0" borderId="37" xfId="3" applyNumberFormat="1" applyFont="1" applyBorder="1"/>
    <xf numFmtId="167" fontId="0" fillId="0" borderId="37" xfId="3" applyNumberFormat="1" applyFont="1" applyBorder="1"/>
    <xf numFmtId="0" fontId="8" fillId="0" borderId="7" xfId="0" applyFont="1" applyBorder="1"/>
    <xf numFmtId="167" fontId="0" fillId="0" borderId="48" xfId="3" applyNumberFormat="1" applyFont="1" applyBorder="1"/>
    <xf numFmtId="43" fontId="12" fillId="0" borderId="46" xfId="4" applyFont="1" applyBorder="1"/>
    <xf numFmtId="171" fontId="8" fillId="0" borderId="46" xfId="2" applyNumberFormat="1" applyFont="1" applyBorder="1"/>
    <xf numFmtId="171" fontId="12" fillId="0" borderId="47" xfId="2" applyNumberFormat="1" applyFont="1" applyBorder="1"/>
    <xf numFmtId="43" fontId="12" fillId="0" borderId="0" xfId="4" applyFont="1" applyBorder="1"/>
    <xf numFmtId="0" fontId="28" fillId="0" borderId="2" xfId="0" applyFont="1" applyBorder="1"/>
    <xf numFmtId="43" fontId="5" fillId="0" borderId="0" xfId="4" applyFont="1" applyBorder="1"/>
    <xf numFmtId="43" fontId="5" fillId="0" borderId="37" xfId="4" applyFont="1" applyBorder="1"/>
    <xf numFmtId="0" fontId="28" fillId="0" borderId="7" xfId="0" applyFont="1" applyBorder="1"/>
    <xf numFmtId="43" fontId="5" fillId="0" borderId="8" xfId="4" applyFont="1" applyBorder="1"/>
    <xf numFmtId="43" fontId="5" fillId="0" borderId="48" xfId="4" applyFont="1" applyBorder="1"/>
    <xf numFmtId="171" fontId="12" fillId="0" borderId="46" xfId="2" applyNumberFormat="1" applyFont="1" applyBorder="1"/>
    <xf numFmtId="43" fontId="12" fillId="0" borderId="46" xfId="0" applyNumberFormat="1" applyFont="1" applyBorder="1"/>
    <xf numFmtId="171" fontId="12" fillId="0" borderId="0" xfId="2" applyNumberFormat="1" applyFont="1" applyBorder="1"/>
    <xf numFmtId="171" fontId="12" fillId="0" borderId="37" xfId="2" applyNumberFormat="1" applyFont="1" applyBorder="1" applyAlignment="1">
      <alignment horizontal="center"/>
    </xf>
    <xf numFmtId="167" fontId="0" fillId="0" borderId="8" xfId="3" applyNumberFormat="1" applyFont="1" applyBorder="1"/>
    <xf numFmtId="167" fontId="8" fillId="4" borderId="0" xfId="3" applyNumberFormat="1" applyFont="1" applyFill="1" applyBorder="1" applyAlignment="1" applyProtection="1">
      <alignment horizontal="center"/>
      <protection locked="0"/>
    </xf>
    <xf numFmtId="43" fontId="8" fillId="4" borderId="0" xfId="4" applyFont="1" applyFill="1" applyBorder="1" applyAlignment="1" applyProtection="1">
      <alignment horizontal="center"/>
      <protection locked="0"/>
    </xf>
    <xf numFmtId="43" fontId="8" fillId="4" borderId="46" xfId="4" applyFont="1" applyFill="1" applyBorder="1" applyAlignment="1" applyProtection="1">
      <alignment horizontal="center"/>
      <protection locked="0"/>
    </xf>
    <xf numFmtId="43" fontId="3" fillId="4" borderId="0" xfId="4" applyFont="1" applyFill="1"/>
    <xf numFmtId="10" fontId="22" fillId="0" borderId="0" xfId="0" applyNumberFormat="1" applyFont="1"/>
    <xf numFmtId="10" fontId="25" fillId="0" borderId="0" xfId="3" applyNumberFormat="1" applyFont="1" applyAlignment="1">
      <alignment horizontal="center"/>
    </xf>
    <xf numFmtId="41" fontId="22" fillId="0" borderId="0" xfId="0" applyNumberFormat="1" applyFont="1"/>
    <xf numFmtId="0" fontId="20" fillId="0" borderId="1" xfId="0" applyFont="1" applyBorder="1" applyAlignment="1">
      <alignment horizontal="center"/>
    </xf>
    <xf numFmtId="41" fontId="6" fillId="0" borderId="25" xfId="2" applyFont="1" applyBorder="1"/>
    <xf numFmtId="41" fontId="0" fillId="0" borderId="24" xfId="0" applyNumberFormat="1" applyBorder="1"/>
    <xf numFmtId="41" fontId="0" fillId="0" borderId="28" xfId="0" applyNumberFormat="1" applyBorder="1"/>
    <xf numFmtId="41" fontId="0" fillId="0" borderId="28" xfId="4" applyNumberFormat="1" applyFont="1" applyBorder="1"/>
    <xf numFmtId="41" fontId="6" fillId="0" borderId="24" xfId="2" applyFont="1" applyBorder="1"/>
    <xf numFmtId="41" fontId="6" fillId="0" borderId="28" xfId="2" applyFont="1" applyBorder="1"/>
    <xf numFmtId="41" fontId="13" fillId="0" borderId="12" xfId="2" applyFont="1" applyBorder="1"/>
    <xf numFmtId="41" fontId="13" fillId="0" borderId="39" xfId="2" applyFont="1" applyBorder="1"/>
    <xf numFmtId="41" fontId="13" fillId="0" borderId="24" xfId="2" applyFont="1" applyBorder="1"/>
    <xf numFmtId="41" fontId="14" fillId="0" borderId="28" xfId="0" applyNumberFormat="1" applyFont="1" applyBorder="1"/>
    <xf numFmtId="41" fontId="0" fillId="0" borderId="12" xfId="0" applyNumberFormat="1" applyBorder="1"/>
    <xf numFmtId="41" fontId="1" fillId="0" borderId="24" xfId="2" applyFont="1" applyBorder="1"/>
    <xf numFmtId="41" fontId="14" fillId="0" borderId="24" xfId="2" applyFont="1" applyBorder="1"/>
    <xf numFmtId="41" fontId="14" fillId="0" borderId="12" xfId="2" applyFont="1" applyBorder="1"/>
    <xf numFmtId="41" fontId="14" fillId="0" borderId="0" xfId="0" applyNumberFormat="1" applyFont="1"/>
    <xf numFmtId="10" fontId="1" fillId="0" borderId="3" xfId="3" applyNumberFormat="1" applyFont="1" applyBorder="1"/>
    <xf numFmtId="41" fontId="11" fillId="0" borderId="49" xfId="0" applyNumberFormat="1" applyFont="1" applyBorder="1"/>
    <xf numFmtId="0" fontId="10" fillId="0" borderId="49" xfId="0" applyFont="1" applyBorder="1"/>
    <xf numFmtId="0" fontId="11" fillId="0" borderId="50" xfId="0" applyFont="1" applyBorder="1"/>
    <xf numFmtId="0" fontId="10" fillId="0" borderId="20" xfId="0" applyFont="1" applyBorder="1"/>
    <xf numFmtId="41" fontId="11" fillId="0" borderId="50" xfId="2" applyFont="1" applyBorder="1"/>
    <xf numFmtId="0" fontId="10" fillId="0" borderId="50" xfId="0" applyFont="1" applyBorder="1"/>
    <xf numFmtId="0" fontId="11" fillId="0" borderId="51" xfId="0" applyFont="1" applyBorder="1"/>
    <xf numFmtId="3" fontId="15" fillId="0" borderId="0" xfId="0" applyNumberFormat="1" applyFont="1"/>
    <xf numFmtId="41" fontId="11" fillId="0" borderId="50" xfId="2" applyFont="1" applyBorder="1" applyAlignment="1">
      <alignment wrapText="1"/>
    </xf>
    <xf numFmtId="41" fontId="15" fillId="0" borderId="0" xfId="0" applyNumberFormat="1" applyFont="1"/>
    <xf numFmtId="41" fontId="11" fillId="0" borderId="0" xfId="0" applyNumberFormat="1" applyFont="1"/>
    <xf numFmtId="41" fontId="4" fillId="0" borderId="45" xfId="0" applyNumberFormat="1" applyFont="1" applyBorder="1"/>
    <xf numFmtId="41" fontId="4" fillId="0" borderId="11" xfId="0" applyNumberFormat="1" applyFont="1" applyBorder="1"/>
    <xf numFmtId="41" fontId="1" fillId="0" borderId="35" xfId="0" applyNumberFormat="1" applyFont="1" applyBorder="1"/>
    <xf numFmtId="41" fontId="4" fillId="0" borderId="2" xfId="0" applyNumberFormat="1" applyFont="1" applyBorder="1"/>
    <xf numFmtId="41" fontId="0" fillId="0" borderId="2" xfId="3" applyNumberFormat="1" applyFont="1" applyBorder="1"/>
    <xf numFmtId="41" fontId="1" fillId="0" borderId="18" xfId="0" applyNumberFormat="1" applyFont="1" applyBorder="1"/>
    <xf numFmtId="41" fontId="0" fillId="0" borderId="0" xfId="3" applyNumberFormat="1" applyFont="1" applyBorder="1"/>
    <xf numFmtId="41" fontId="0" fillId="0" borderId="0" xfId="4" applyNumberFormat="1" applyFont="1" applyBorder="1"/>
    <xf numFmtId="167" fontId="15" fillId="0" borderId="0" xfId="3" applyNumberFormat="1" applyFont="1" applyBorder="1"/>
    <xf numFmtId="10" fontId="22" fillId="4" borderId="0" xfId="3" applyNumberFormat="1" applyFont="1" applyFill="1" applyProtection="1">
      <protection locked="0"/>
    </xf>
    <xf numFmtId="43" fontId="12" fillId="0" borderId="0" xfId="4" applyFont="1" applyFill="1" applyAlignment="1">
      <alignment horizontal="center"/>
    </xf>
    <xf numFmtId="9" fontId="8" fillId="4" borderId="0" xfId="4" applyNumberFormat="1" applyFont="1" applyFill="1" applyBorder="1" applyAlignment="1" applyProtection="1">
      <alignment horizontal="center"/>
      <protection locked="0"/>
    </xf>
    <xf numFmtId="43" fontId="3" fillId="0" borderId="0" xfId="4" applyFont="1" applyFill="1"/>
    <xf numFmtId="43" fontId="12" fillId="0" borderId="0" xfId="4" applyFont="1" applyFill="1"/>
    <xf numFmtId="171" fontId="19" fillId="0" borderId="12" xfId="2" applyNumberFormat="1" applyFont="1" applyFill="1" applyBorder="1"/>
    <xf numFmtId="41" fontId="19" fillId="0" borderId="34" xfId="2" applyFont="1" applyBorder="1"/>
    <xf numFmtId="0" fontId="19" fillId="0" borderId="43" xfId="0" applyFont="1" applyBorder="1"/>
    <xf numFmtId="171" fontId="19" fillId="0" borderId="24" xfId="2" applyNumberFormat="1" applyFont="1" applyFill="1" applyBorder="1"/>
    <xf numFmtId="0" fontId="19" fillId="0" borderId="3" xfId="0" applyFont="1" applyBorder="1"/>
    <xf numFmtId="41" fontId="11" fillId="0" borderId="6" xfId="2" applyFont="1" applyBorder="1"/>
    <xf numFmtId="0" fontId="10" fillId="0" borderId="26" xfId="0" applyFont="1" applyBorder="1"/>
    <xf numFmtId="41" fontId="0" fillId="0" borderId="23" xfId="2" applyFont="1" applyBorder="1"/>
    <xf numFmtId="171" fontId="4" fillId="0" borderId="29" xfId="2" applyNumberFormat="1" applyFont="1" applyBorder="1"/>
    <xf numFmtId="41" fontId="11" fillId="0" borderId="23" xfId="2" applyFont="1" applyBorder="1"/>
    <xf numFmtId="171" fontId="1" fillId="0" borderId="6" xfId="2" applyNumberFormat="1" applyFont="1" applyBorder="1"/>
    <xf numFmtId="171" fontId="0" fillId="0" borderId="23" xfId="2" applyNumberFormat="1" applyFont="1" applyBorder="1"/>
    <xf numFmtId="41" fontId="19" fillId="0" borderId="29" xfId="2" applyFont="1" applyBorder="1"/>
    <xf numFmtId="41" fontId="11" fillId="0" borderId="29" xfId="2" applyFont="1" applyBorder="1"/>
    <xf numFmtId="167" fontId="15" fillId="0" borderId="37" xfId="3" applyNumberFormat="1" applyFont="1" applyBorder="1"/>
    <xf numFmtId="41" fontId="19" fillId="0" borderId="33" xfId="2" applyFont="1" applyBorder="1"/>
    <xf numFmtId="0" fontId="0" fillId="0" borderId="48" xfId="0" applyBorder="1"/>
    <xf numFmtId="0" fontId="9" fillId="0" borderId="56" xfId="0" applyFont="1" applyBorder="1" applyAlignment="1">
      <alignment horizontal="center"/>
    </xf>
    <xf numFmtId="0" fontId="20" fillId="0" borderId="0" xfId="0" applyFont="1"/>
    <xf numFmtId="0" fontId="30" fillId="0" borderId="0" xfId="0" applyFont="1"/>
    <xf numFmtId="43" fontId="20" fillId="0" borderId="0" xfId="4" applyFont="1"/>
    <xf numFmtId="167" fontId="21" fillId="0" borderId="4" xfId="3" applyNumberFormat="1" applyFont="1" applyBorder="1"/>
    <xf numFmtId="3" fontId="31" fillId="0" borderId="0" xfId="0" applyNumberFormat="1" applyFont="1"/>
    <xf numFmtId="10" fontId="20" fillId="0" borderId="1" xfId="0" applyNumberFormat="1" applyFont="1" applyBorder="1"/>
    <xf numFmtId="167" fontId="0" fillId="0" borderId="1" xfId="3" applyNumberFormat="1" applyFont="1" applyBorder="1" applyAlignment="1">
      <alignment horizontal="center"/>
    </xf>
    <xf numFmtId="9" fontId="22" fillId="4" borderId="0" xfId="0" applyNumberFormat="1" applyFont="1" applyFill="1"/>
    <xf numFmtId="3" fontId="0" fillId="6" borderId="0" xfId="0" applyNumberFormat="1" applyFill="1" applyAlignment="1">
      <alignment vertical="center" wrapText="1"/>
    </xf>
    <xf numFmtId="0" fontId="0" fillId="0" borderId="0" xfId="0" applyAlignment="1">
      <alignment vertical="center" wrapText="1"/>
    </xf>
    <xf numFmtId="175" fontId="0" fillId="0" borderId="0" xfId="4" applyNumberFormat="1" applyFont="1" applyFill="1" applyBorder="1" applyAlignment="1">
      <alignment vertical="center" wrapText="1"/>
    </xf>
    <xf numFmtId="0" fontId="34" fillId="0" borderId="0" xfId="0" applyFont="1" applyAlignment="1">
      <alignment vertical="center" wrapText="1"/>
    </xf>
    <xf numFmtId="3" fontId="0" fillId="0" borderId="0" xfId="0" applyNumberFormat="1" applyAlignment="1">
      <alignment vertical="center" wrapText="1"/>
    </xf>
    <xf numFmtId="3" fontId="25" fillId="0" borderId="0" xfId="0" applyNumberFormat="1" applyFont="1" applyAlignment="1">
      <alignment vertical="center" wrapText="1"/>
    </xf>
    <xf numFmtId="0" fontId="25" fillId="0" borderId="0" xfId="0" applyFont="1" applyAlignment="1">
      <alignment vertical="center" wrapText="1"/>
    </xf>
    <xf numFmtId="0" fontId="33" fillId="0" borderId="0" xfId="0" applyFont="1" applyAlignment="1">
      <alignment vertical="center" wrapText="1"/>
    </xf>
    <xf numFmtId="0" fontId="35" fillId="0" borderId="0" xfId="0" applyFont="1" applyAlignment="1">
      <alignment vertical="center" wrapText="1"/>
    </xf>
    <xf numFmtId="14" fontId="40" fillId="0" borderId="0" xfId="0" applyNumberFormat="1" applyFont="1" applyAlignment="1">
      <alignment vertical="center" wrapText="1"/>
    </xf>
    <xf numFmtId="14" fontId="33" fillId="0" borderId="0" xfId="0" applyNumberFormat="1" applyFont="1" applyAlignment="1">
      <alignment vertical="center" wrapText="1"/>
    </xf>
    <xf numFmtId="175" fontId="41" fillId="7" borderId="0" xfId="4" applyNumberFormat="1" applyFont="1" applyFill="1" applyBorder="1" applyAlignment="1">
      <alignment vertical="center" wrapText="1"/>
    </xf>
    <xf numFmtId="0" fontId="41" fillId="7" borderId="0" xfId="0" applyFont="1" applyFill="1" applyAlignment="1">
      <alignment vertical="center" wrapText="1"/>
    </xf>
    <xf numFmtId="0" fontId="41" fillId="7" borderId="0" xfId="0" applyFont="1" applyFill="1"/>
    <xf numFmtId="175" fontId="25" fillId="8" borderId="5" xfId="0" applyNumberFormat="1" applyFont="1" applyFill="1" applyBorder="1" applyAlignment="1">
      <alignment vertical="center" wrapText="1"/>
    </xf>
    <xf numFmtId="0" fontId="25" fillId="8" borderId="5" xfId="0" applyFont="1" applyFill="1" applyBorder="1" applyAlignment="1">
      <alignment vertical="center" wrapText="1"/>
    </xf>
    <xf numFmtId="3" fontId="25" fillId="0" borderId="5" xfId="0" applyNumberFormat="1" applyFont="1" applyBorder="1" applyAlignment="1">
      <alignment vertical="center" wrapText="1"/>
    </xf>
    <xf numFmtId="3" fontId="0" fillId="0" borderId="5" xfId="0" applyNumberFormat="1" applyBorder="1" applyAlignment="1">
      <alignment vertical="center" wrapText="1"/>
    </xf>
    <xf numFmtId="3" fontId="25" fillId="6" borderId="5" xfId="0" applyNumberFormat="1" applyFont="1" applyFill="1" applyBorder="1" applyAlignment="1">
      <alignment vertical="center" wrapText="1"/>
    </xf>
    <xf numFmtId="175" fontId="42" fillId="7" borderId="8" xfId="4" applyNumberFormat="1" applyFont="1" applyFill="1" applyBorder="1" applyAlignment="1">
      <alignment vertical="center" wrapText="1"/>
    </xf>
    <xf numFmtId="175" fontId="42" fillId="7" borderId="8" xfId="4" applyNumberFormat="1" applyFont="1" applyFill="1" applyBorder="1"/>
    <xf numFmtId="0" fontId="32" fillId="0" borderId="0" xfId="0" applyFont="1"/>
    <xf numFmtId="0" fontId="43" fillId="0" borderId="0" xfId="0" applyFont="1"/>
    <xf numFmtId="0" fontId="36" fillId="0" borderId="0" xfId="0" applyFont="1"/>
    <xf numFmtId="0" fontId="33" fillId="0" borderId="0" xfId="0" applyFont="1"/>
    <xf numFmtId="0" fontId="44" fillId="0" borderId="0" xfId="0" applyFont="1" applyAlignment="1">
      <alignment vertical="center" wrapText="1"/>
    </xf>
    <xf numFmtId="0" fontId="45" fillId="0" borderId="0" xfId="0" applyFont="1" applyAlignment="1">
      <alignment vertical="center" wrapText="1"/>
    </xf>
    <xf numFmtId="0" fontId="46" fillId="7" borderId="0" xfId="0" applyFont="1" applyFill="1" applyAlignment="1">
      <alignment vertical="center" wrapText="1"/>
    </xf>
    <xf numFmtId="0" fontId="47" fillId="7" borderId="0" xfId="0" applyFont="1" applyFill="1" applyAlignment="1">
      <alignment vertical="center" wrapText="1"/>
    </xf>
    <xf numFmtId="0" fontId="48" fillId="0" borderId="0" xfId="0" applyFont="1" applyAlignment="1">
      <alignment vertical="center" wrapText="1"/>
    </xf>
    <xf numFmtId="0" fontId="34" fillId="0" borderId="0" xfId="0" applyFont="1"/>
    <xf numFmtId="3" fontId="42" fillId="7" borderId="8" xfId="0" applyNumberFormat="1" applyFont="1" applyFill="1" applyBorder="1" applyAlignment="1">
      <alignment vertical="center" wrapText="1"/>
    </xf>
    <xf numFmtId="14" fontId="40" fillId="0" borderId="0" xfId="0" applyNumberFormat="1" applyFont="1" applyAlignment="1">
      <alignment horizontal="center" vertical="center" wrapText="1"/>
    </xf>
    <xf numFmtId="0" fontId="49" fillId="0" borderId="0" xfId="0" applyFont="1" applyAlignment="1">
      <alignment horizontal="center"/>
    </xf>
    <xf numFmtId="0" fontId="50" fillId="7" borderId="0" xfId="0" applyFont="1" applyFill="1" applyAlignment="1">
      <alignment vertical="center" wrapText="1"/>
    </xf>
    <xf numFmtId="14" fontId="46" fillId="7" borderId="0" xfId="0" applyNumberFormat="1" applyFont="1" applyFill="1" applyAlignment="1">
      <alignment vertical="center" wrapText="1"/>
    </xf>
    <xf numFmtId="14" fontId="46" fillId="7" borderId="0" xfId="0" applyNumberFormat="1" applyFont="1" applyFill="1" applyAlignment="1">
      <alignment horizontal="center" vertical="center" wrapText="1"/>
    </xf>
    <xf numFmtId="0" fontId="41" fillId="7" borderId="0" xfId="0" applyFont="1" applyFill="1" applyAlignment="1">
      <alignment horizontal="center"/>
    </xf>
    <xf numFmtId="0" fontId="41" fillId="7" borderId="8" xfId="0" applyFont="1" applyFill="1" applyBorder="1"/>
    <xf numFmtId="3" fontId="37" fillId="0" borderId="5" xfId="0" applyNumberFormat="1" applyFont="1" applyBorder="1" applyAlignment="1">
      <alignment vertical="center" wrapText="1"/>
    </xf>
    <xf numFmtId="175" fontId="25" fillId="0" borderId="0" xfId="4" applyNumberFormat="1" applyFont="1" applyBorder="1"/>
    <xf numFmtId="0" fontId="51" fillId="7" borderId="0" xfId="0" applyFont="1" applyFill="1" applyAlignment="1">
      <alignment vertical="center" wrapText="1"/>
    </xf>
    <xf numFmtId="0" fontId="52" fillId="7" borderId="0" xfId="0" applyFont="1" applyFill="1" applyAlignment="1">
      <alignment vertical="center" wrapText="1"/>
    </xf>
    <xf numFmtId="0" fontId="53" fillId="7" borderId="0" xfId="0" applyFont="1" applyFill="1" applyAlignment="1">
      <alignment vertical="center" wrapText="1"/>
    </xf>
    <xf numFmtId="3" fontId="52" fillId="7" borderId="8" xfId="0" applyNumberFormat="1" applyFont="1" applyFill="1" applyBorder="1" applyAlignment="1">
      <alignment vertical="center" wrapText="1"/>
    </xf>
    <xf numFmtId="0" fontId="0" fillId="7" borderId="8" xfId="0" applyFill="1" applyBorder="1"/>
    <xf numFmtId="14" fontId="30" fillId="7" borderId="0" xfId="0" applyNumberFormat="1" applyFont="1" applyFill="1" applyAlignment="1">
      <alignment vertical="center" wrapText="1"/>
    </xf>
    <xf numFmtId="14" fontId="52" fillId="7" borderId="0" xfId="0" applyNumberFormat="1" applyFont="1" applyFill="1" applyAlignment="1">
      <alignment horizontal="center" vertical="center" wrapText="1"/>
    </xf>
    <xf numFmtId="0" fontId="53" fillId="7" borderId="0" xfId="0" applyFont="1" applyFill="1" applyAlignment="1">
      <alignment horizontal="center"/>
    </xf>
    <xf numFmtId="3" fontId="37" fillId="0" borderId="0" xfId="0" applyNumberFormat="1" applyFont="1" applyAlignment="1">
      <alignment vertical="center" wrapText="1"/>
    </xf>
    <xf numFmtId="3" fontId="41" fillId="7" borderId="0" xfId="0" applyNumberFormat="1" applyFont="1" applyFill="1" applyAlignment="1">
      <alignment vertical="center" wrapText="1"/>
    </xf>
    <xf numFmtId="0" fontId="42" fillId="7" borderId="0" xfId="0" applyFont="1" applyFill="1" applyAlignment="1">
      <alignment vertical="center" wrapText="1"/>
    </xf>
    <xf numFmtId="3" fontId="52" fillId="7" borderId="0" xfId="0" applyNumberFormat="1" applyFont="1" applyFill="1" applyAlignment="1">
      <alignment vertical="center" wrapText="1"/>
    </xf>
    <xf numFmtId="0" fontId="53" fillId="7" borderId="0" xfId="0" applyFont="1" applyFill="1"/>
    <xf numFmtId="0" fontId="52" fillId="7" borderId="0" xfId="0" applyFont="1" applyFill="1"/>
    <xf numFmtId="3" fontId="42" fillId="7" borderId="8" xfId="0" applyNumberFormat="1" applyFont="1" applyFill="1" applyBorder="1"/>
    <xf numFmtId="0" fontId="42" fillId="7" borderId="8" xfId="0" applyFont="1" applyFill="1" applyBorder="1"/>
    <xf numFmtId="3" fontId="52" fillId="7" borderId="8" xfId="0" applyNumberFormat="1" applyFont="1" applyFill="1" applyBorder="1"/>
    <xf numFmtId="0" fontId="52" fillId="7" borderId="8" xfId="0" applyFont="1" applyFill="1" applyBorder="1"/>
    <xf numFmtId="175" fontId="0" fillId="0" borderId="0" xfId="4" applyNumberFormat="1" applyFont="1" applyFill="1" applyBorder="1" applyAlignment="1"/>
    <xf numFmtId="175" fontId="0" fillId="0" borderId="0" xfId="4" applyNumberFormat="1" applyFont="1" applyBorder="1" applyAlignment="1"/>
    <xf numFmtId="172" fontId="0" fillId="0" borderId="0" xfId="4" applyNumberFormat="1" applyFont="1" applyFill="1" applyBorder="1" applyAlignment="1"/>
    <xf numFmtId="175" fontId="42" fillId="7" borderId="53" xfId="0" applyNumberFormat="1" applyFont="1" applyFill="1" applyBorder="1"/>
    <xf numFmtId="0" fontId="42" fillId="7" borderId="53" xfId="0" applyFont="1" applyFill="1" applyBorder="1"/>
    <xf numFmtId="175" fontId="25" fillId="0" borderId="5" xfId="4" applyNumberFormat="1" applyFont="1" applyFill="1" applyBorder="1" applyAlignment="1"/>
    <xf numFmtId="175" fontId="25" fillId="0" borderId="0" xfId="4" applyNumberFormat="1" applyFont="1" applyFill="1" applyBorder="1" applyAlignment="1"/>
    <xf numFmtId="3" fontId="25" fillId="0" borderId="5" xfId="0" applyNumberFormat="1" applyFont="1" applyBorder="1"/>
    <xf numFmtId="0" fontId="25" fillId="0" borderId="5" xfId="0" applyFont="1" applyBorder="1"/>
    <xf numFmtId="3" fontId="41" fillId="7" borderId="5" xfId="0" applyNumberFormat="1" applyFont="1" applyFill="1" applyBorder="1"/>
    <xf numFmtId="0" fontId="41" fillId="7" borderId="5" xfId="0" applyFont="1" applyFill="1" applyBorder="1"/>
    <xf numFmtId="175" fontId="53" fillId="7" borderId="8" xfId="0" applyNumberFormat="1" applyFont="1" applyFill="1" applyBorder="1"/>
    <xf numFmtId="0" fontId="53" fillId="7" borderId="8" xfId="0" applyFont="1" applyFill="1" applyBorder="1"/>
    <xf numFmtId="0" fontId="0" fillId="0" borderId="29" xfId="0" applyBorder="1"/>
    <xf numFmtId="41" fontId="0" fillId="0" borderId="39" xfId="0" applyNumberFormat="1" applyBorder="1"/>
    <xf numFmtId="0" fontId="0" fillId="0" borderId="0" xfId="0" applyAlignment="1">
      <alignment horizontal="center"/>
    </xf>
    <xf numFmtId="0" fontId="39" fillId="0" borderId="0" xfId="0" applyFont="1"/>
    <xf numFmtId="3" fontId="39" fillId="0" borderId="0" xfId="0" applyNumberFormat="1" applyFont="1"/>
    <xf numFmtId="0" fontId="38" fillId="0" borderId="0" xfId="0" applyFont="1"/>
    <xf numFmtId="3" fontId="38" fillId="0" borderId="0" xfId="0" applyNumberFormat="1" applyFont="1"/>
    <xf numFmtId="175" fontId="0" fillId="0" borderId="0" xfId="0" applyNumberFormat="1" applyAlignment="1">
      <alignment vertical="center" wrapText="1"/>
    </xf>
    <xf numFmtId="175" fontId="0" fillId="0" borderId="0" xfId="4" applyNumberFormat="1" applyFont="1" applyFill="1" applyBorder="1" applyAlignment="1">
      <alignment horizontal="right" vertical="center" wrapText="1"/>
    </xf>
    <xf numFmtId="3" fontId="0" fillId="10" borderId="0" xfId="0" applyNumberFormat="1" applyFill="1" applyAlignment="1">
      <alignment vertical="center" wrapText="1"/>
    </xf>
    <xf numFmtId="10" fontId="0" fillId="0" borderId="25" xfId="3" applyNumberFormat="1" applyFont="1" applyBorder="1"/>
    <xf numFmtId="176" fontId="0" fillId="0" borderId="33" xfId="2" applyNumberFormat="1" applyFont="1" applyBorder="1"/>
    <xf numFmtId="164" fontId="0" fillId="0" borderId="1" xfId="0" applyNumberFormat="1" applyBorder="1"/>
    <xf numFmtId="0" fontId="9" fillId="0" borderId="55" xfId="0" applyFont="1" applyBorder="1" applyAlignment="1">
      <alignment horizontal="center"/>
    </xf>
    <xf numFmtId="167" fontId="0" fillId="0" borderId="0" xfId="0" applyNumberFormat="1"/>
    <xf numFmtId="164" fontId="0" fillId="10" borderId="0" xfId="0" applyNumberFormat="1" applyFill="1"/>
    <xf numFmtId="0" fontId="19" fillId="0" borderId="24" xfId="0" applyFont="1" applyBorder="1"/>
    <xf numFmtId="171" fontId="0" fillId="10" borderId="0" xfId="0" applyNumberFormat="1" applyFill="1"/>
    <xf numFmtId="9" fontId="19" fillId="10" borderId="26" xfId="3" applyFont="1" applyFill="1" applyBorder="1" applyAlignment="1">
      <alignment horizontal="center" vertical="center"/>
    </xf>
    <xf numFmtId="10" fontId="19" fillId="10" borderId="25" xfId="3" applyNumberFormat="1" applyFont="1" applyFill="1" applyBorder="1" applyAlignment="1">
      <alignment horizontal="center"/>
    </xf>
    <xf numFmtId="41" fontId="19" fillId="0" borderId="0" xfId="0" applyNumberFormat="1" applyFont="1"/>
    <xf numFmtId="0" fontId="21" fillId="0" borderId="0" xfId="0" applyFont="1"/>
    <xf numFmtId="0" fontId="0" fillId="8" borderId="45" xfId="0" applyFill="1" applyBorder="1"/>
    <xf numFmtId="0" fontId="20" fillId="8" borderId="46" xfId="0" applyFont="1" applyFill="1" applyBorder="1"/>
    <xf numFmtId="0" fontId="0" fillId="8" borderId="47" xfId="0" applyFill="1" applyBorder="1"/>
    <xf numFmtId="0" fontId="0" fillId="8" borderId="2" xfId="0" applyFill="1" applyBorder="1"/>
    <xf numFmtId="0" fontId="0" fillId="8" borderId="37" xfId="0" applyFill="1" applyBorder="1"/>
    <xf numFmtId="0" fontId="56" fillId="8" borderId="0" xfId="0" applyFont="1" applyFill="1" applyAlignment="1">
      <alignment horizontal="center"/>
    </xf>
    <xf numFmtId="0" fontId="21" fillId="8" borderId="0" xfId="0" applyFont="1" applyFill="1"/>
    <xf numFmtId="2" fontId="21" fillId="10" borderId="14" xfId="0" applyNumberFormat="1" applyFont="1" applyFill="1" applyBorder="1"/>
    <xf numFmtId="167" fontId="21" fillId="10" borderId="14" xfId="0" applyNumberFormat="1" applyFont="1" applyFill="1" applyBorder="1"/>
    <xf numFmtId="10" fontId="21" fillId="10" borderId="14" xfId="0" applyNumberFormat="1" applyFont="1" applyFill="1" applyBorder="1"/>
    <xf numFmtId="10" fontId="21" fillId="8" borderId="0" xfId="0" applyNumberFormat="1" applyFont="1" applyFill="1"/>
    <xf numFmtId="0" fontId="21" fillId="8" borderId="8" xfId="0" applyFont="1" applyFill="1" applyBorder="1"/>
    <xf numFmtId="0" fontId="56" fillId="8" borderId="0" xfId="0" applyFont="1" applyFill="1"/>
    <xf numFmtId="0" fontId="56" fillId="0" borderId="0" xfId="0" applyFont="1"/>
    <xf numFmtId="0" fontId="0" fillId="8" borderId="7" xfId="0" applyFill="1" applyBorder="1"/>
    <xf numFmtId="2" fontId="21" fillId="8" borderId="8" xfId="0" applyNumberFormat="1" applyFont="1" applyFill="1" applyBorder="1"/>
    <xf numFmtId="0" fontId="0" fillId="8" borderId="48" xfId="0" applyFill="1" applyBorder="1"/>
    <xf numFmtId="0" fontId="21" fillId="8" borderId="46" xfId="0" applyFont="1" applyFill="1" applyBorder="1"/>
    <xf numFmtId="2" fontId="21" fillId="8" borderId="46" xfId="0" applyNumberFormat="1" applyFont="1" applyFill="1" applyBorder="1"/>
    <xf numFmtId="0" fontId="21" fillId="10" borderId="14" xfId="0" applyFont="1" applyFill="1" applyBorder="1"/>
    <xf numFmtId="0" fontId="0" fillId="8" borderId="8" xfId="0" applyFill="1" applyBorder="1"/>
    <xf numFmtId="0" fontId="21" fillId="0" borderId="2" xfId="0" applyFont="1" applyBorder="1"/>
    <xf numFmtId="2" fontId="21" fillId="4" borderId="0" xfId="0" applyNumberFormat="1" applyFont="1" applyFill="1"/>
    <xf numFmtId="0" fontId="57" fillId="0" borderId="37" xfId="0" applyFont="1" applyBorder="1"/>
    <xf numFmtId="9" fontId="21" fillId="4" borderId="0" xfId="3" applyFont="1" applyFill="1" applyBorder="1"/>
    <xf numFmtId="167" fontId="21" fillId="4" borderId="0" xfId="3" applyNumberFormat="1" applyFont="1" applyFill="1" applyBorder="1"/>
    <xf numFmtId="10" fontId="21" fillId="4" borderId="0" xfId="3" applyNumberFormat="1" applyFont="1" applyFill="1" applyBorder="1"/>
    <xf numFmtId="43" fontId="21" fillId="0" borderId="0" xfId="4" applyFont="1" applyBorder="1"/>
    <xf numFmtId="167" fontId="21" fillId="0" borderId="0" xfId="3" applyNumberFormat="1" applyFont="1" applyBorder="1"/>
    <xf numFmtId="0" fontId="21" fillId="0" borderId="7" xfId="0" applyFont="1" applyBorder="1"/>
    <xf numFmtId="167" fontId="21" fillId="0" borderId="8" xfId="3" applyNumberFormat="1" applyFont="1" applyBorder="1"/>
    <xf numFmtId="41" fontId="21" fillId="0" borderId="0" xfId="0" applyNumberFormat="1" applyFont="1"/>
    <xf numFmtId="0" fontId="58" fillId="0" borderId="0" xfId="0" applyFont="1"/>
    <xf numFmtId="41" fontId="58" fillId="0" borderId="0" xfId="0" applyNumberFormat="1" applyFont="1"/>
    <xf numFmtId="167" fontId="58" fillId="0" borderId="0" xfId="3" applyNumberFormat="1" applyFont="1"/>
    <xf numFmtId="43" fontId="58" fillId="0" borderId="0" xfId="0" applyNumberFormat="1" applyFont="1"/>
    <xf numFmtId="9" fontId="21" fillId="0" borderId="0" xfId="3" applyFont="1"/>
    <xf numFmtId="41" fontId="59" fillId="0" borderId="0" xfId="0" applyNumberFormat="1" applyFont="1"/>
    <xf numFmtId="10" fontId="0" fillId="0" borderId="24" xfId="3" applyNumberFormat="1" applyFont="1" applyBorder="1"/>
    <xf numFmtId="10" fontId="0" fillId="0" borderId="2" xfId="3" applyNumberFormat="1" applyFont="1" applyBorder="1"/>
    <xf numFmtId="164" fontId="0" fillId="0" borderId="0" xfId="0" applyNumberFormat="1"/>
    <xf numFmtId="43" fontId="11" fillId="0" borderId="0" xfId="4" applyFont="1" applyBorder="1"/>
    <xf numFmtId="43" fontId="11" fillId="0" borderId="0" xfId="4" applyFont="1"/>
    <xf numFmtId="43" fontId="60" fillId="8" borderId="0" xfId="4" applyFont="1" applyFill="1"/>
    <xf numFmtId="43" fontId="21" fillId="4" borderId="0" xfId="4" applyFont="1" applyFill="1"/>
    <xf numFmtId="9" fontId="58" fillId="0" borderId="0" xfId="0" applyNumberFormat="1" applyFont="1"/>
    <xf numFmtId="171" fontId="58" fillId="0" borderId="0" xfId="0" applyNumberFormat="1" applyFont="1"/>
    <xf numFmtId="9" fontId="20" fillId="0" borderId="0" xfId="3" applyFont="1"/>
    <xf numFmtId="9" fontId="58" fillId="0" borderId="0" xfId="3" applyFont="1"/>
    <xf numFmtId="10" fontId="22" fillId="0" borderId="0" xfId="4" applyNumberFormat="1" applyFont="1"/>
    <xf numFmtId="164" fontId="19" fillId="0" borderId="0" xfId="0" applyNumberFormat="1" applyFont="1"/>
    <xf numFmtId="10" fontId="19" fillId="0" borderId="0" xfId="0" applyNumberFormat="1" applyFont="1"/>
    <xf numFmtId="0" fontId="62" fillId="0" borderId="0" xfId="0" applyFont="1"/>
    <xf numFmtId="164" fontId="22" fillId="0" borderId="0" xfId="0" applyNumberFormat="1" applyFont="1"/>
    <xf numFmtId="0" fontId="65" fillId="0" borderId="26" xfId="0" applyFont="1" applyBorder="1" applyAlignment="1">
      <alignment vertical="center" wrapText="1"/>
    </xf>
    <xf numFmtId="0" fontId="66" fillId="0" borderId="23" xfId="0" applyFont="1" applyBorder="1" applyAlignment="1">
      <alignment vertical="center" wrapText="1"/>
    </xf>
    <xf numFmtId="0" fontId="65" fillId="0" borderId="23" xfId="0" applyFont="1" applyBorder="1" applyAlignment="1">
      <alignment vertical="center" wrapText="1"/>
    </xf>
    <xf numFmtId="0" fontId="69" fillId="0" borderId="23" xfId="0" applyFont="1" applyBorder="1" applyAlignment="1">
      <alignment vertical="center" wrapText="1"/>
    </xf>
    <xf numFmtId="0" fontId="67" fillId="0" borderId="23" xfId="0" applyFont="1" applyBorder="1" applyAlignment="1">
      <alignment vertical="center" wrapText="1"/>
    </xf>
    <xf numFmtId="0" fontId="68" fillId="0" borderId="23" xfId="0" applyFont="1" applyBorder="1" applyAlignment="1">
      <alignment vertical="center" wrapText="1"/>
    </xf>
    <xf numFmtId="0" fontId="67" fillId="0" borderId="29" xfId="0" applyFont="1" applyBorder="1" applyAlignment="1">
      <alignment vertical="center" wrapText="1"/>
    </xf>
    <xf numFmtId="0" fontId="0" fillId="0" borderId="0" xfId="0" applyAlignment="1">
      <alignment wrapText="1"/>
    </xf>
    <xf numFmtId="175" fontId="0" fillId="0" borderId="28" xfId="4" applyNumberFormat="1" applyFont="1" applyBorder="1"/>
    <xf numFmtId="175" fontId="0" fillId="0" borderId="27" xfId="4" applyNumberFormat="1" applyFont="1" applyBorder="1"/>
    <xf numFmtId="175" fontId="67" fillId="0" borderId="28" xfId="4" applyNumberFormat="1" applyFont="1" applyBorder="1" applyAlignment="1">
      <alignment vertical="center"/>
    </xf>
    <xf numFmtId="175" fontId="0" fillId="0" borderId="39" xfId="4" applyNumberFormat="1" applyFont="1" applyBorder="1"/>
    <xf numFmtId="175" fontId="0" fillId="0" borderId="0" xfId="4" applyNumberFormat="1" applyFont="1"/>
    <xf numFmtId="175" fontId="0" fillId="10" borderId="28" xfId="4" applyNumberFormat="1" applyFont="1" applyFill="1" applyBorder="1"/>
    <xf numFmtId="175" fontId="19" fillId="0" borderId="28" xfId="4" quotePrefix="1" applyNumberFormat="1" applyFont="1" applyBorder="1"/>
    <xf numFmtId="0" fontId="70" fillId="0" borderId="23" xfId="0" applyFont="1" applyBorder="1" applyAlignment="1">
      <alignment vertical="center" wrapText="1"/>
    </xf>
    <xf numFmtId="175" fontId="25" fillId="0" borderId="28" xfId="4" applyNumberFormat="1" applyFont="1" applyBorder="1"/>
    <xf numFmtId="175" fontId="0" fillId="0" borderId="0" xfId="0" applyNumberFormat="1"/>
    <xf numFmtId="175" fontId="0" fillId="0" borderId="28" xfId="4" applyNumberFormat="1" applyFont="1" applyFill="1" applyBorder="1"/>
    <xf numFmtId="0" fontId="65" fillId="0" borderId="54" xfId="0" applyFont="1" applyBorder="1" applyAlignment="1">
      <alignment vertical="center" wrapText="1"/>
    </xf>
    <xf numFmtId="0" fontId="65" fillId="0" borderId="0" xfId="0" applyFont="1" applyAlignment="1">
      <alignment vertical="center" wrapText="1"/>
    </xf>
    <xf numFmtId="0" fontId="69" fillId="0" borderId="0" xfId="0" applyFont="1" applyAlignment="1">
      <alignment vertical="center" wrapText="1"/>
    </xf>
    <xf numFmtId="0" fontId="67" fillId="0" borderId="0" xfId="0" applyFont="1" applyAlignment="1">
      <alignment vertical="center" wrapText="1"/>
    </xf>
    <xf numFmtId="0" fontId="68" fillId="0" borderId="0" xfId="0" applyFont="1" applyAlignment="1">
      <alignment vertical="center" wrapText="1"/>
    </xf>
    <xf numFmtId="0" fontId="70" fillId="0" borderId="0" xfId="0" applyFont="1" applyAlignment="1">
      <alignment vertical="center" wrapText="1"/>
    </xf>
    <xf numFmtId="41" fontId="65" fillId="0" borderId="0" xfId="0" applyNumberFormat="1" applyFont="1" applyAlignment="1">
      <alignment vertical="center" wrapText="1"/>
    </xf>
    <xf numFmtId="175" fontId="65" fillId="0" borderId="0" xfId="4" applyNumberFormat="1" applyFont="1" applyBorder="1" applyAlignment="1">
      <alignment vertical="center" wrapText="1"/>
    </xf>
    <xf numFmtId="175" fontId="67" fillId="0" borderId="0" xfId="4" applyNumberFormat="1" applyFont="1" applyBorder="1" applyAlignment="1">
      <alignment vertical="center" wrapText="1"/>
    </xf>
    <xf numFmtId="171" fontId="1" fillId="0" borderId="24" xfId="0" applyNumberFormat="1" applyFont="1" applyBorder="1"/>
    <xf numFmtId="41" fontId="67" fillId="0" borderId="0" xfId="0" applyNumberFormat="1" applyFont="1" applyAlignment="1">
      <alignment vertical="center" wrapText="1"/>
    </xf>
    <xf numFmtId="43" fontId="67" fillId="0" borderId="0" xfId="0" applyNumberFormat="1" applyFont="1" applyAlignment="1">
      <alignment vertical="center" wrapText="1"/>
    </xf>
    <xf numFmtId="41" fontId="68" fillId="0" borderId="0" xfId="0" applyNumberFormat="1" applyFont="1" applyAlignment="1">
      <alignment vertical="center" wrapText="1"/>
    </xf>
    <xf numFmtId="41" fontId="67" fillId="0" borderId="5" xfId="0" applyNumberFormat="1" applyFont="1" applyBorder="1" applyAlignment="1">
      <alignment vertical="center" wrapText="1"/>
    </xf>
    <xf numFmtId="0" fontId="66" fillId="10" borderId="6" xfId="0" applyFont="1" applyFill="1" applyBorder="1" applyAlignment="1">
      <alignment vertical="center" wrapText="1"/>
    </xf>
    <xf numFmtId="175" fontId="25" fillId="10" borderId="40" xfId="4" applyNumberFormat="1" applyFont="1" applyFill="1" applyBorder="1"/>
    <xf numFmtId="0" fontId="68" fillId="10" borderId="23" xfId="0" applyFont="1" applyFill="1" applyBorder="1" applyAlignment="1">
      <alignment vertical="center" wrapText="1"/>
    </xf>
    <xf numFmtId="43" fontId="67" fillId="10" borderId="0" xfId="0" applyNumberFormat="1" applyFont="1" applyFill="1" applyAlignment="1">
      <alignment vertical="center" wrapText="1"/>
    </xf>
    <xf numFmtId="0" fontId="71" fillId="11" borderId="6" xfId="0" applyFont="1" applyFill="1" applyBorder="1" applyAlignment="1">
      <alignment vertical="center" wrapText="1"/>
    </xf>
    <xf numFmtId="175" fontId="32" fillId="11" borderId="40" xfId="4" applyNumberFormat="1" applyFont="1" applyFill="1" applyBorder="1"/>
    <xf numFmtId="0" fontId="72" fillId="8" borderId="0" xfId="0" applyFont="1" applyFill="1"/>
    <xf numFmtId="0" fontId="74" fillId="0" borderId="0" xfId="5" applyFont="1"/>
    <xf numFmtId="0" fontId="75" fillId="8" borderId="0" xfId="0" applyFont="1" applyFill="1" applyAlignment="1" applyProtection="1">
      <alignment vertical="center" wrapText="1"/>
      <protection hidden="1"/>
    </xf>
    <xf numFmtId="0" fontId="76" fillId="8" borderId="0" xfId="0" applyFont="1" applyFill="1"/>
    <xf numFmtId="0" fontId="72" fillId="12" borderId="1" xfId="0" applyFont="1" applyFill="1" applyBorder="1"/>
    <xf numFmtId="0" fontId="77" fillId="0" borderId="0" xfId="5" applyFont="1"/>
    <xf numFmtId="0" fontId="78" fillId="0" borderId="6" xfId="0" applyFont="1" applyBorder="1" applyAlignment="1">
      <alignment horizontal="center" vertical="center" wrapText="1"/>
    </xf>
    <xf numFmtId="0" fontId="78" fillId="0" borderId="40" xfId="0" applyFont="1" applyBorder="1" applyAlignment="1">
      <alignment horizontal="center" vertical="center" wrapText="1"/>
    </xf>
    <xf numFmtId="0" fontId="72" fillId="8" borderId="1" xfId="0" applyFont="1" applyFill="1" applyBorder="1"/>
    <xf numFmtId="0" fontId="74" fillId="8" borderId="0" xfId="5" applyFont="1" applyFill="1"/>
    <xf numFmtId="0" fontId="79" fillId="0" borderId="26" xfId="0" applyFont="1" applyBorder="1" applyAlignment="1">
      <alignment horizontal="center" vertical="center"/>
    </xf>
    <xf numFmtId="14" fontId="80" fillId="8" borderId="26" xfId="0" applyNumberFormat="1" applyFont="1" applyFill="1" applyBorder="1" applyAlignment="1">
      <alignment horizontal="center" vertical="center"/>
    </xf>
    <xf numFmtId="0" fontId="81" fillId="0" borderId="1" xfId="0" applyFont="1" applyBorder="1"/>
    <xf numFmtId="14" fontId="80" fillId="8" borderId="1" xfId="0" applyNumberFormat="1" applyFont="1" applyFill="1" applyBorder="1" applyAlignment="1">
      <alignment horizontal="center" vertical="center"/>
    </xf>
    <xf numFmtId="0" fontId="80" fillId="0" borderId="26" xfId="0" applyFont="1" applyBorder="1" applyAlignment="1">
      <alignment horizontal="left" vertical="center"/>
    </xf>
    <xf numFmtId="0" fontId="83" fillId="13" borderId="26" xfId="0" applyFont="1" applyFill="1" applyBorder="1" applyAlignment="1">
      <alignment horizontal="center" vertical="center"/>
    </xf>
    <xf numFmtId="178" fontId="84" fillId="8" borderId="1" xfId="6" applyFont="1" applyFill="1" applyBorder="1" applyAlignment="1">
      <alignment horizontal="center" vertical="center"/>
    </xf>
    <xf numFmtId="43" fontId="82" fillId="8" borderId="26" xfId="4" applyFont="1" applyFill="1" applyBorder="1" applyAlignment="1">
      <alignment horizontal="center" vertical="center"/>
    </xf>
    <xf numFmtId="10" fontId="82" fillId="8" borderId="26" xfId="3" applyNumberFormat="1" applyFont="1" applyFill="1" applyBorder="1" applyAlignment="1">
      <alignment horizontal="center" vertical="center"/>
    </xf>
    <xf numFmtId="10" fontId="83" fillId="13" borderId="26" xfId="3" applyNumberFormat="1" applyFont="1" applyFill="1" applyBorder="1" applyAlignment="1">
      <alignment horizontal="center" vertical="center"/>
    </xf>
    <xf numFmtId="9" fontId="82" fillId="8" borderId="26" xfId="3" applyFont="1" applyFill="1" applyBorder="1" applyAlignment="1">
      <alignment horizontal="center" vertical="center"/>
    </xf>
    <xf numFmtId="0" fontId="80" fillId="0" borderId="6" xfId="0" applyFont="1" applyBorder="1" applyAlignment="1">
      <alignment horizontal="left" vertical="center"/>
    </xf>
    <xf numFmtId="10" fontId="82" fillId="8" borderId="6" xfId="3" applyNumberFormat="1" applyFont="1" applyFill="1" applyBorder="1" applyAlignment="1">
      <alignment horizontal="center" vertical="center" wrapText="1"/>
    </xf>
    <xf numFmtId="0" fontId="83" fillId="13" borderId="6" xfId="0" applyFont="1" applyFill="1" applyBorder="1" applyAlignment="1">
      <alignment horizontal="center" vertical="center"/>
    </xf>
    <xf numFmtId="10" fontId="83" fillId="13" borderId="6" xfId="3" applyNumberFormat="1" applyFont="1" applyFill="1" applyBorder="1" applyAlignment="1">
      <alignment horizontal="center" vertical="center"/>
    </xf>
    <xf numFmtId="0" fontId="85" fillId="0" borderId="0" xfId="5" applyFont="1"/>
    <xf numFmtId="0" fontId="76" fillId="8" borderId="1" xfId="0" applyFont="1" applyFill="1" applyBorder="1"/>
    <xf numFmtId="0" fontId="80" fillId="8" borderId="26" xfId="0" applyFont="1" applyFill="1" applyBorder="1" applyAlignment="1">
      <alignment vertical="center"/>
    </xf>
    <xf numFmtId="0" fontId="80" fillId="8" borderId="6" xfId="0" applyFont="1" applyFill="1" applyBorder="1" applyAlignment="1">
      <alignment vertical="center"/>
    </xf>
    <xf numFmtId="0" fontId="80" fillId="14" borderId="26" xfId="0" applyFont="1" applyFill="1" applyBorder="1" applyAlignment="1">
      <alignment horizontal="center" vertical="center"/>
    </xf>
    <xf numFmtId="0" fontId="80" fillId="8" borderId="25" xfId="0" applyFont="1" applyFill="1" applyBorder="1"/>
    <xf numFmtId="0" fontId="80" fillId="8" borderId="26" xfId="0" applyFont="1" applyFill="1" applyBorder="1" applyAlignment="1">
      <alignment horizontal="left" vertical="center" wrapText="1"/>
    </xf>
    <xf numFmtId="10" fontId="80" fillId="8" borderId="26" xfId="0" applyNumberFormat="1" applyFont="1" applyFill="1" applyBorder="1" applyAlignment="1">
      <alignment horizontal="center" vertical="center"/>
    </xf>
    <xf numFmtId="0" fontId="81" fillId="8" borderId="25" xfId="0" applyFont="1" applyFill="1" applyBorder="1"/>
    <xf numFmtId="0" fontId="80" fillId="14" borderId="26" xfId="0" applyFont="1" applyFill="1" applyBorder="1" applyAlignment="1">
      <alignment horizontal="left" vertical="center" wrapText="1"/>
    </xf>
    <xf numFmtId="10" fontId="80" fillId="14" borderId="26" xfId="0" applyNumberFormat="1" applyFont="1" applyFill="1" applyBorder="1" applyAlignment="1">
      <alignment horizontal="center" vertical="center"/>
    </xf>
    <xf numFmtId="10" fontId="80" fillId="14" borderId="6" xfId="0" applyNumberFormat="1" applyFont="1" applyFill="1" applyBorder="1" applyAlignment="1">
      <alignment horizontal="center" vertical="center"/>
    </xf>
    <xf numFmtId="9" fontId="80" fillId="14" borderId="26" xfId="0" applyNumberFormat="1" applyFont="1" applyFill="1" applyBorder="1" applyAlignment="1">
      <alignment horizontal="center" vertical="center"/>
    </xf>
    <xf numFmtId="0" fontId="80" fillId="14" borderId="6" xfId="0" applyFont="1" applyFill="1" applyBorder="1" applyAlignment="1">
      <alignment horizontal="left" vertical="center" wrapText="1"/>
    </xf>
    <xf numFmtId="0" fontId="81" fillId="8" borderId="1" xfId="0" applyFont="1" applyFill="1" applyBorder="1"/>
    <xf numFmtId="177" fontId="82" fillId="8" borderId="26" xfId="4" applyNumberFormat="1" applyFont="1" applyFill="1" applyBorder="1" applyAlignment="1">
      <alignment vertical="center"/>
    </xf>
    <xf numFmtId="179" fontId="0" fillId="0" borderId="0" xfId="3" applyNumberFormat="1" applyFont="1"/>
    <xf numFmtId="179" fontId="0" fillId="10" borderId="0" xfId="3" applyNumberFormat="1" applyFont="1" applyFill="1"/>
    <xf numFmtId="180" fontId="0" fillId="0" borderId="0" xfId="0" applyNumberFormat="1"/>
    <xf numFmtId="171" fontId="11" fillId="0" borderId="0" xfId="0" applyNumberFormat="1" applyFont="1"/>
    <xf numFmtId="9" fontId="11" fillId="0" borderId="0" xfId="3" applyFont="1"/>
    <xf numFmtId="10" fontId="11" fillId="0" borderId="0" xfId="3" applyNumberFormat="1" applyFont="1"/>
    <xf numFmtId="0" fontId="0" fillId="0" borderId="0" xfId="0" applyAlignment="1">
      <alignment horizontal="right"/>
    </xf>
    <xf numFmtId="175" fontId="0" fillId="0" borderId="0" xfId="4" applyNumberFormat="1" applyFont="1" applyAlignment="1"/>
    <xf numFmtId="0" fontId="19" fillId="0" borderId="0" xfId="0" applyFont="1" applyAlignment="1">
      <alignment horizontal="center"/>
    </xf>
    <xf numFmtId="41" fontId="11" fillId="0" borderId="0" xfId="2" applyFont="1" applyBorder="1"/>
    <xf numFmtId="175" fontId="19" fillId="0" borderId="0" xfId="4" applyNumberFormat="1" applyFont="1" applyAlignment="1">
      <alignment horizontal="center"/>
    </xf>
    <xf numFmtId="41" fontId="11" fillId="10" borderId="50" xfId="2" applyFont="1" applyFill="1" applyBorder="1"/>
    <xf numFmtId="175" fontId="0" fillId="10" borderId="0" xfId="4" applyNumberFormat="1" applyFont="1" applyFill="1"/>
    <xf numFmtId="175" fontId="0" fillId="10" borderId="0" xfId="0" applyNumberFormat="1" applyFill="1"/>
    <xf numFmtId="9" fontId="0" fillId="10" borderId="0" xfId="3" applyFont="1" applyFill="1"/>
    <xf numFmtId="10" fontId="14" fillId="0" borderId="0" xfId="3" applyNumberFormat="1" applyFont="1"/>
    <xf numFmtId="0" fontId="86" fillId="8" borderId="0" xfId="5" applyFont="1" applyFill="1"/>
    <xf numFmtId="41" fontId="86" fillId="8" borderId="0" xfId="5" applyNumberFormat="1" applyFont="1" applyFill="1"/>
    <xf numFmtId="171" fontId="86" fillId="8" borderId="0" xfId="5" applyNumberFormat="1" applyFont="1" applyFill="1"/>
    <xf numFmtId="9" fontId="19" fillId="4" borderId="0" xfId="3" applyFont="1" applyFill="1" applyProtection="1">
      <protection locked="0"/>
    </xf>
    <xf numFmtId="0" fontId="89" fillId="0" borderId="0" xfId="7"/>
    <xf numFmtId="167" fontId="1" fillId="10" borderId="42" xfId="3" applyNumberFormat="1" applyFont="1" applyFill="1" applyBorder="1"/>
    <xf numFmtId="0" fontId="88" fillId="0" borderId="0" xfId="0" applyFont="1"/>
    <xf numFmtId="0" fontId="88" fillId="0" borderId="0" xfId="0" applyFont="1" applyAlignment="1">
      <alignment horizontal="center"/>
    </xf>
    <xf numFmtId="43" fontId="12" fillId="0" borderId="0" xfId="4" applyFont="1" applyFill="1" applyBorder="1"/>
    <xf numFmtId="0" fontId="63" fillId="0" borderId="0" xfId="0" applyFont="1"/>
    <xf numFmtId="0" fontId="64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87" fillId="0" borderId="0" xfId="0" applyFont="1"/>
    <xf numFmtId="0" fontId="21" fillId="0" borderId="0" xfId="0" applyFont="1" applyAlignment="1">
      <alignment horizontal="center" vertical="center"/>
    </xf>
    <xf numFmtId="43" fontId="11" fillId="0" borderId="0" xfId="4" applyFont="1" applyFill="1" applyBorder="1"/>
    <xf numFmtId="171" fontId="4" fillId="0" borderId="0" xfId="2" applyNumberFormat="1" applyFont="1" applyBorder="1"/>
    <xf numFmtId="171" fontId="1" fillId="0" borderId="0" xfId="2" applyNumberFormat="1" applyFont="1" applyBorder="1"/>
    <xf numFmtId="9" fontId="0" fillId="0" borderId="3" xfId="3" applyFont="1" applyBorder="1"/>
    <xf numFmtId="167" fontId="15" fillId="0" borderId="0" xfId="0" applyNumberFormat="1" applyFont="1"/>
    <xf numFmtId="41" fontId="4" fillId="0" borderId="46" xfId="0" applyNumberFormat="1" applyFont="1" applyBorder="1"/>
    <xf numFmtId="41" fontId="0" fillId="0" borderId="54" xfId="0" applyNumberFormat="1" applyBorder="1"/>
    <xf numFmtId="10" fontId="0" fillId="0" borderId="0" xfId="3" applyNumberFormat="1" applyFont="1" applyBorder="1"/>
    <xf numFmtId="41" fontId="4" fillId="0" borderId="5" xfId="0" applyNumberFormat="1" applyFont="1" applyBorder="1"/>
    <xf numFmtId="41" fontId="4" fillId="0" borderId="0" xfId="0" applyNumberFormat="1" applyFont="1"/>
    <xf numFmtId="0" fontId="10" fillId="0" borderId="51" xfId="0" applyFont="1" applyBorder="1"/>
    <xf numFmtId="41" fontId="1" fillId="0" borderId="52" xfId="0" applyNumberFormat="1" applyFont="1" applyBorder="1"/>
    <xf numFmtId="41" fontId="1" fillId="0" borderId="53" xfId="0" applyNumberFormat="1" applyFont="1" applyBorder="1"/>
    <xf numFmtId="171" fontId="0" fillId="0" borderId="81" xfId="0" applyNumberFormat="1" applyBorder="1"/>
    <xf numFmtId="171" fontId="0" fillId="0" borderId="2" xfId="0" applyNumberFormat="1" applyBorder="1"/>
    <xf numFmtId="0" fontId="11" fillId="0" borderId="2" xfId="0" applyFont="1" applyBorder="1"/>
    <xf numFmtId="9" fontId="0" fillId="4" borderId="2" xfId="3" applyFont="1" applyFill="1" applyBorder="1"/>
    <xf numFmtId="9" fontId="0" fillId="4" borderId="7" xfId="3" applyFont="1" applyFill="1" applyBorder="1"/>
    <xf numFmtId="10" fontId="1" fillId="0" borderId="19" xfId="0" applyNumberFormat="1" applyFont="1" applyBorder="1"/>
    <xf numFmtId="41" fontId="11" fillId="0" borderId="2" xfId="0" applyNumberFormat="1" applyFont="1" applyBorder="1"/>
    <xf numFmtId="9" fontId="0" fillId="4" borderId="8" xfId="3" applyFont="1" applyFill="1" applyBorder="1"/>
    <xf numFmtId="0" fontId="11" fillId="0" borderId="3" xfId="0" applyFont="1" applyBorder="1"/>
    <xf numFmtId="9" fontId="0" fillId="0" borderId="9" xfId="3" applyFont="1" applyBorder="1"/>
    <xf numFmtId="181" fontId="22" fillId="0" borderId="0" xfId="4" applyNumberFormat="1" applyFont="1"/>
    <xf numFmtId="181" fontId="22" fillId="0" borderId="0" xfId="2" applyNumberFormat="1" applyFont="1"/>
    <xf numFmtId="182" fontId="22" fillId="0" borderId="0" xfId="0" applyNumberFormat="1" applyFont="1"/>
    <xf numFmtId="182" fontId="24" fillId="0" borderId="0" xfId="0" applyNumberFormat="1" applyFont="1"/>
    <xf numFmtId="0" fontId="57" fillId="0" borderId="0" xfId="0" applyFont="1"/>
    <xf numFmtId="0" fontId="91" fillId="0" borderId="0" xfId="7" applyFont="1"/>
    <xf numFmtId="175" fontId="0" fillId="0" borderId="0" xfId="4" applyNumberFormat="1" applyFont="1" applyAlignment="1">
      <alignment horizontal="center"/>
    </xf>
    <xf numFmtId="1" fontId="57" fillId="0" borderId="0" xfId="0" applyNumberFormat="1" applyFont="1"/>
    <xf numFmtId="0" fontId="92" fillId="15" borderId="0" xfId="0" applyFont="1" applyFill="1" applyAlignment="1">
      <alignment horizontal="center"/>
    </xf>
    <xf numFmtId="0" fontId="92" fillId="15" borderId="23" xfId="0" applyFont="1" applyFill="1" applyBorder="1" applyAlignment="1">
      <alignment horizontal="center"/>
    </xf>
    <xf numFmtId="0" fontId="92" fillId="15" borderId="82" xfId="0" applyFont="1" applyFill="1" applyBorder="1" applyAlignment="1">
      <alignment horizontal="center"/>
    </xf>
    <xf numFmtId="0" fontId="93" fillId="16" borderId="2" xfId="0" applyFont="1" applyFill="1" applyBorder="1" applyAlignment="1">
      <alignment horizontal="center"/>
    </xf>
    <xf numFmtId="0" fontId="94" fillId="16" borderId="2" xfId="0" applyFont="1" applyFill="1" applyBorder="1" applyAlignment="1">
      <alignment horizontal="center"/>
    </xf>
    <xf numFmtId="0" fontId="90" fillId="15" borderId="83" xfId="0" applyFont="1" applyFill="1" applyBorder="1"/>
    <xf numFmtId="167" fontId="90" fillId="15" borderId="83" xfId="3" applyNumberFormat="1" applyFont="1" applyFill="1" applyBorder="1"/>
    <xf numFmtId="43" fontId="90" fillId="15" borderId="83" xfId="4" applyFont="1" applyFill="1" applyBorder="1"/>
    <xf numFmtId="43" fontId="90" fillId="15" borderId="83" xfId="0" applyNumberFormat="1" applyFont="1" applyFill="1" applyBorder="1"/>
    <xf numFmtId="9" fontId="90" fillId="15" borderId="83" xfId="3" applyFont="1" applyFill="1" applyBorder="1"/>
    <xf numFmtId="10" fontId="90" fillId="15" borderId="83" xfId="0" applyNumberFormat="1" applyFont="1" applyFill="1" applyBorder="1"/>
    <xf numFmtId="0" fontId="3" fillId="0" borderId="1" xfId="0" applyFont="1" applyBorder="1"/>
    <xf numFmtId="10" fontId="0" fillId="0" borderId="0" xfId="2" applyNumberFormat="1" applyFont="1"/>
    <xf numFmtId="0" fontId="98" fillId="0" borderId="0" xfId="7" applyFont="1"/>
    <xf numFmtId="0" fontId="94" fillId="16" borderId="14" xfId="0" applyFont="1" applyFill="1" applyBorder="1" applyAlignment="1">
      <alignment horizontal="center"/>
    </xf>
    <xf numFmtId="9" fontId="20" fillId="0" borderId="0" xfId="3" applyFont="1" applyAlignment="1">
      <alignment horizontal="center"/>
    </xf>
    <xf numFmtId="10" fontId="20" fillId="0" borderId="0" xfId="0" applyNumberFormat="1" applyFont="1"/>
    <xf numFmtId="167" fontId="21" fillId="0" borderId="0" xfId="3" applyNumberFormat="1" applyFont="1"/>
    <xf numFmtId="10" fontId="90" fillId="15" borderId="83" xfId="4" applyNumberFormat="1" applyFont="1" applyFill="1" applyBorder="1"/>
    <xf numFmtId="43" fontId="20" fillId="0" borderId="0" xfId="4" applyFont="1" applyAlignment="1">
      <alignment horizontal="center"/>
    </xf>
    <xf numFmtId="0" fontId="20" fillId="0" borderId="0" xfId="0" applyFont="1" applyAlignment="1">
      <alignment horizontal="right"/>
    </xf>
    <xf numFmtId="10" fontId="20" fillId="0" borderId="0" xfId="0" applyNumberFormat="1" applyFont="1" applyAlignment="1">
      <alignment horizontal="right"/>
    </xf>
    <xf numFmtId="10" fontId="0" fillId="0" borderId="0" xfId="0" applyNumberFormat="1" applyAlignment="1">
      <alignment horizontal="right"/>
    </xf>
    <xf numFmtId="43" fontId="20" fillId="0" borderId="0" xfId="0" applyNumberFormat="1" applyFont="1" applyAlignment="1">
      <alignment horizontal="right"/>
    </xf>
    <xf numFmtId="167" fontId="21" fillId="0" borderId="0" xfId="3" applyNumberFormat="1" applyFont="1" applyAlignment="1">
      <alignment horizontal="right"/>
    </xf>
    <xf numFmtId="4" fontId="0" fillId="0" borderId="0" xfId="0" applyNumberFormat="1"/>
    <xf numFmtId="43" fontId="19" fillId="0" borderId="0" xfId="4" applyFont="1" applyAlignment="1">
      <alignment horizontal="center"/>
    </xf>
    <xf numFmtId="43" fontId="0" fillId="0" borderId="0" xfId="4" applyFont="1" applyAlignment="1">
      <alignment horizontal="center"/>
    </xf>
    <xf numFmtId="43" fontId="19" fillId="0" borderId="0" xfId="4" applyFont="1"/>
    <xf numFmtId="9" fontId="19" fillId="0" borderId="0" xfId="0" applyNumberFormat="1" applyFont="1" applyAlignment="1">
      <alignment horizontal="center"/>
    </xf>
    <xf numFmtId="167" fontId="19" fillId="0" borderId="0" xfId="0" applyNumberFormat="1" applyFont="1" applyAlignment="1">
      <alignment horizontal="center"/>
    </xf>
    <xf numFmtId="0" fontId="90" fillId="15" borderId="83" xfId="0" applyFont="1" applyFill="1" applyBorder="1" applyAlignment="1">
      <alignment vertical="center" wrapText="1"/>
    </xf>
    <xf numFmtId="0" fontId="101" fillId="15" borderId="83" xfId="0" applyFont="1" applyFill="1" applyBorder="1"/>
    <xf numFmtId="9" fontId="90" fillId="15" borderId="83" xfId="0" applyNumberFormat="1" applyFont="1" applyFill="1" applyBorder="1"/>
    <xf numFmtId="41" fontId="90" fillId="15" borderId="83" xfId="0" applyNumberFormat="1" applyFont="1" applyFill="1" applyBorder="1"/>
    <xf numFmtId="167" fontId="90" fillId="15" borderId="23" xfId="3" applyNumberFormat="1" applyFont="1" applyFill="1" applyBorder="1"/>
    <xf numFmtId="0" fontId="94" fillId="16" borderId="1" xfId="0" applyFont="1" applyFill="1" applyBorder="1" applyAlignment="1">
      <alignment horizontal="center"/>
    </xf>
    <xf numFmtId="0" fontId="100" fillId="15" borderId="85" xfId="0" applyFont="1" applyFill="1" applyBorder="1" applyAlignment="1">
      <alignment horizontal="center"/>
    </xf>
    <xf numFmtId="0" fontId="100" fillId="15" borderId="86" xfId="0" applyFont="1" applyFill="1" applyBorder="1" applyAlignment="1">
      <alignment horizontal="center"/>
    </xf>
    <xf numFmtId="0" fontId="93" fillId="16" borderId="87" xfId="0" applyFont="1" applyFill="1" applyBorder="1" applyAlignment="1">
      <alignment horizontal="center"/>
    </xf>
    <xf numFmtId="0" fontId="94" fillId="16" borderId="88" xfId="0" applyFont="1" applyFill="1" applyBorder="1" applyAlignment="1">
      <alignment horizontal="center"/>
    </xf>
    <xf numFmtId="0" fontId="90" fillId="15" borderId="84" xfId="0" applyFont="1" applyFill="1" applyBorder="1"/>
    <xf numFmtId="167" fontId="90" fillId="15" borderId="89" xfId="3" applyNumberFormat="1" applyFont="1" applyFill="1" applyBorder="1"/>
    <xf numFmtId="167" fontId="90" fillId="15" borderId="90" xfId="3" applyNumberFormat="1" applyFont="1" applyFill="1" applyBorder="1"/>
    <xf numFmtId="0" fontId="102" fillId="0" borderId="0" xfId="0" applyFont="1"/>
    <xf numFmtId="10" fontId="90" fillId="15" borderId="84" xfId="4" applyNumberFormat="1" applyFont="1" applyFill="1" applyBorder="1"/>
    <xf numFmtId="43" fontId="90" fillId="15" borderId="84" xfId="4" applyFont="1" applyFill="1" applyBorder="1"/>
    <xf numFmtId="0" fontId="90" fillId="15" borderId="84" xfId="0" applyFont="1" applyFill="1" applyBorder="1" applyAlignment="1">
      <alignment vertical="center" wrapText="1"/>
    </xf>
    <xf numFmtId="43" fontId="90" fillId="15" borderId="84" xfId="0" applyNumberFormat="1" applyFont="1" applyFill="1" applyBorder="1"/>
    <xf numFmtId="41" fontId="90" fillId="15" borderId="84" xfId="0" applyNumberFormat="1" applyFont="1" applyFill="1" applyBorder="1"/>
    <xf numFmtId="0" fontId="103" fillId="16" borderId="1" xfId="0" applyFont="1" applyFill="1" applyBorder="1" applyAlignment="1">
      <alignment horizontal="center"/>
    </xf>
    <xf numFmtId="0" fontId="103" fillId="16" borderId="28" xfId="0" applyFont="1" applyFill="1" applyBorder="1" applyAlignment="1">
      <alignment horizontal="center"/>
    </xf>
    <xf numFmtId="167" fontId="104" fillId="15" borderId="90" xfId="3" applyNumberFormat="1" applyFont="1" applyFill="1" applyBorder="1" applyAlignment="1">
      <alignment horizontal="center"/>
    </xf>
    <xf numFmtId="0" fontId="94" fillId="16" borderId="91" xfId="0" applyFont="1" applyFill="1" applyBorder="1" applyAlignment="1">
      <alignment horizontal="center"/>
    </xf>
    <xf numFmtId="0" fontId="103" fillId="16" borderId="91" xfId="0" applyFont="1" applyFill="1" applyBorder="1" applyAlignment="1">
      <alignment horizontal="center"/>
    </xf>
    <xf numFmtId="10" fontId="90" fillId="15" borderId="84" xfId="3" applyNumberFormat="1" applyFont="1" applyFill="1" applyBorder="1"/>
    <xf numFmtId="167" fontId="14" fillId="0" borderId="0" xfId="3" applyNumberFormat="1" applyFont="1"/>
    <xf numFmtId="43" fontId="90" fillId="15" borderId="89" xfId="4" applyFont="1" applyFill="1" applyBorder="1"/>
    <xf numFmtId="43" fontId="90" fillId="15" borderId="90" xfId="4" applyFont="1" applyFill="1" applyBorder="1"/>
    <xf numFmtId="9" fontId="90" fillId="15" borderId="89" xfId="3" applyFont="1" applyFill="1" applyBorder="1"/>
    <xf numFmtId="9" fontId="90" fillId="15" borderId="84" xfId="3" applyFont="1" applyFill="1" applyBorder="1"/>
    <xf numFmtId="43" fontId="94" fillId="16" borderId="91" xfId="4" applyFont="1" applyFill="1" applyBorder="1" applyAlignment="1">
      <alignment horizontal="center"/>
    </xf>
    <xf numFmtId="43" fontId="94" fillId="16" borderId="1" xfId="4" applyFont="1" applyFill="1" applyBorder="1" applyAlignment="1">
      <alignment horizontal="center"/>
    </xf>
    <xf numFmtId="167" fontId="90" fillId="15" borderId="84" xfId="3" applyNumberFormat="1" applyFont="1" applyFill="1" applyBorder="1"/>
    <xf numFmtId="0" fontId="21" fillId="10" borderId="0" xfId="0" applyFont="1" applyFill="1"/>
    <xf numFmtId="9" fontId="90" fillId="15" borderId="90" xfId="3" applyFont="1" applyFill="1" applyBorder="1"/>
    <xf numFmtId="10" fontId="90" fillId="15" borderId="89" xfId="3" applyNumberFormat="1" applyFont="1" applyFill="1" applyBorder="1"/>
    <xf numFmtId="164" fontId="19" fillId="0" borderId="0" xfId="0" applyNumberFormat="1" applyFont="1" applyAlignment="1">
      <alignment horizontal="center"/>
    </xf>
    <xf numFmtId="0" fontId="19" fillId="0" borderId="26" xfId="0" applyFont="1" applyBorder="1" applyAlignment="1">
      <alignment horizontal="center" vertical="top"/>
    </xf>
    <xf numFmtId="0" fontId="19" fillId="0" borderId="54" xfId="0" applyFont="1" applyBorder="1" applyAlignment="1">
      <alignment horizontal="center" vertical="top"/>
    </xf>
    <xf numFmtId="0" fontId="19" fillId="0" borderId="27" xfId="0" applyFont="1" applyBorder="1" applyAlignment="1">
      <alignment horizontal="center" vertical="top"/>
    </xf>
    <xf numFmtId="0" fontId="19" fillId="0" borderId="23" xfId="0" applyFont="1" applyBorder="1" applyAlignment="1">
      <alignment horizontal="center" vertical="top"/>
    </xf>
    <xf numFmtId="0" fontId="19" fillId="0" borderId="0" xfId="0" applyFont="1" applyAlignment="1">
      <alignment horizontal="center" vertical="top"/>
    </xf>
    <xf numFmtId="0" fontId="19" fillId="0" borderId="28" xfId="0" applyFont="1" applyBorder="1" applyAlignment="1">
      <alignment horizontal="center" vertical="top"/>
    </xf>
    <xf numFmtId="0" fontId="19" fillId="0" borderId="29" xfId="0" applyFont="1" applyBorder="1" applyAlignment="1">
      <alignment horizontal="center" vertical="top"/>
    </xf>
    <xf numFmtId="0" fontId="19" fillId="0" borderId="5" xfId="0" applyFont="1" applyBorder="1" applyAlignment="1">
      <alignment horizontal="center" vertical="top"/>
    </xf>
    <xf numFmtId="0" fontId="19" fillId="0" borderId="39" xfId="0" applyFont="1" applyBorder="1" applyAlignment="1">
      <alignment horizontal="center" vertical="top"/>
    </xf>
    <xf numFmtId="0" fontId="19" fillId="0" borderId="26" xfId="0" applyFont="1" applyBorder="1" applyAlignment="1">
      <alignment horizontal="center" vertical="top" wrapText="1"/>
    </xf>
    <xf numFmtId="0" fontId="97" fillId="0" borderId="0" xfId="0" applyFont="1" applyAlignment="1">
      <alignment horizontal="center"/>
    </xf>
    <xf numFmtId="0" fontId="38" fillId="9" borderId="73" xfId="0" applyFont="1" applyFill="1" applyBorder="1" applyAlignment="1">
      <alignment vertical="center" wrapText="1"/>
    </xf>
    <xf numFmtId="0" fontId="38" fillId="9" borderId="61" xfId="0" applyFont="1" applyFill="1" applyBorder="1" applyAlignment="1">
      <alignment vertical="center" wrapText="1"/>
    </xf>
    <xf numFmtId="3" fontId="39" fillId="0" borderId="63" xfId="0" applyNumberFormat="1" applyFont="1" applyBorder="1" applyAlignment="1">
      <alignment vertical="center" wrapText="1"/>
    </xf>
    <xf numFmtId="3" fontId="39" fillId="0" borderId="64" xfId="0" applyNumberFormat="1" applyFont="1" applyBorder="1" applyAlignment="1">
      <alignment vertical="center" wrapText="1"/>
    </xf>
    <xf numFmtId="0" fontId="0" fillId="0" borderId="60" xfId="0" applyBorder="1" applyAlignment="1">
      <alignment vertical="center" wrapText="1"/>
    </xf>
    <xf numFmtId="0" fontId="0" fillId="0" borderId="62" xfId="0" applyBorder="1" applyAlignment="1">
      <alignment vertical="center" wrapText="1"/>
    </xf>
    <xf numFmtId="0" fontId="39" fillId="0" borderId="60" xfId="0" applyFont="1" applyBorder="1" applyAlignment="1">
      <alignment vertical="center" wrapText="1"/>
    </xf>
    <xf numFmtId="0" fontId="39" fillId="0" borderId="62" xfId="0" applyFont="1" applyBorder="1" applyAlignment="1">
      <alignment vertical="center" wrapText="1"/>
    </xf>
    <xf numFmtId="14" fontId="38" fillId="9" borderId="70" xfId="0" applyNumberFormat="1" applyFont="1" applyFill="1" applyBorder="1" applyAlignment="1">
      <alignment vertical="center" wrapText="1"/>
    </xf>
    <xf numFmtId="14" fontId="38" fillId="9" borderId="64" xfId="0" applyNumberFormat="1" applyFont="1" applyFill="1" applyBorder="1" applyAlignment="1">
      <alignment vertical="center" wrapText="1"/>
    </xf>
    <xf numFmtId="0" fontId="39" fillId="0" borderId="65" xfId="0" applyFont="1" applyBorder="1" applyAlignment="1">
      <alignment vertical="center" wrapText="1"/>
    </xf>
    <xf numFmtId="0" fontId="39" fillId="0" borderId="69" xfId="0" applyFont="1" applyBorder="1" applyAlignment="1">
      <alignment vertical="center" wrapText="1"/>
    </xf>
    <xf numFmtId="3" fontId="39" fillId="0" borderId="60" xfId="0" applyNumberFormat="1" applyFont="1" applyBorder="1" applyAlignment="1">
      <alignment vertical="center" wrapText="1"/>
    </xf>
    <xf numFmtId="3" fontId="39" fillId="0" borderId="62" xfId="0" applyNumberFormat="1" applyFont="1" applyBorder="1" applyAlignment="1">
      <alignment vertical="center" wrapText="1"/>
    </xf>
    <xf numFmtId="0" fontId="38" fillId="9" borderId="62" xfId="0" applyFont="1" applyFill="1" applyBorder="1" applyAlignment="1">
      <alignment vertical="center" wrapText="1"/>
    </xf>
    <xf numFmtId="0" fontId="54" fillId="7" borderId="0" xfId="0" applyFont="1" applyFill="1" applyAlignment="1">
      <alignment horizontal="center"/>
    </xf>
    <xf numFmtId="0" fontId="38" fillId="9" borderId="71" xfId="0" applyFont="1" applyFill="1" applyBorder="1" applyAlignment="1">
      <alignment vertical="center" wrapText="1"/>
    </xf>
    <xf numFmtId="0" fontId="38" fillId="9" borderId="72" xfId="0" applyFont="1" applyFill="1" applyBorder="1" applyAlignment="1">
      <alignment vertical="center" wrapText="1"/>
    </xf>
    <xf numFmtId="0" fontId="38" fillId="9" borderId="74" xfId="0" applyFont="1" applyFill="1" applyBorder="1" applyAlignment="1">
      <alignment vertical="center" wrapText="1"/>
    </xf>
    <xf numFmtId="0" fontId="38" fillId="9" borderId="70" xfId="0" applyFont="1" applyFill="1" applyBorder="1" applyAlignment="1">
      <alignment vertical="center" wrapText="1"/>
    </xf>
    <xf numFmtId="0" fontId="38" fillId="9" borderId="69" xfId="0" applyFont="1" applyFill="1" applyBorder="1" applyAlignment="1">
      <alignment vertical="center" wrapText="1"/>
    </xf>
    <xf numFmtId="14" fontId="38" fillId="9" borderId="61" xfId="0" applyNumberFormat="1" applyFont="1" applyFill="1" applyBorder="1" applyAlignment="1">
      <alignment vertical="center" wrapText="1"/>
    </xf>
    <xf numFmtId="14" fontId="38" fillId="9" borderId="62" xfId="0" applyNumberFormat="1" applyFont="1" applyFill="1" applyBorder="1" applyAlignment="1">
      <alignment vertical="center" wrapText="1"/>
    </xf>
    <xf numFmtId="0" fontId="0" fillId="9" borderId="65" xfId="0" applyFill="1" applyBorder="1" applyAlignment="1">
      <alignment vertical="center" wrapText="1"/>
    </xf>
    <xf numFmtId="0" fontId="0" fillId="9" borderId="66" xfId="0" applyFill="1" applyBorder="1" applyAlignment="1">
      <alignment vertical="center" wrapText="1"/>
    </xf>
    <xf numFmtId="3" fontId="38" fillId="9" borderId="60" xfId="0" applyNumberFormat="1" applyFont="1" applyFill="1" applyBorder="1" applyAlignment="1">
      <alignment vertical="center" wrapText="1"/>
    </xf>
    <xf numFmtId="3" fontId="38" fillId="9" borderId="67" xfId="0" applyNumberFormat="1" applyFont="1" applyFill="1" applyBorder="1" applyAlignment="1">
      <alignment vertical="center" wrapText="1"/>
    </xf>
    <xf numFmtId="0" fontId="0" fillId="9" borderId="60" xfId="0" applyFill="1" applyBorder="1" applyAlignment="1">
      <alignment vertical="center" wrapText="1"/>
    </xf>
    <xf numFmtId="0" fontId="0" fillId="9" borderId="67" xfId="0" applyFill="1" applyBorder="1" applyAlignment="1">
      <alignment vertical="center" wrapText="1"/>
    </xf>
    <xf numFmtId="3" fontId="39" fillId="0" borderId="68" xfId="0" applyNumberFormat="1" applyFont="1" applyBorder="1" applyAlignment="1">
      <alignment vertical="center" wrapText="1"/>
    </xf>
    <xf numFmtId="0" fontId="39" fillId="0" borderId="61" xfId="0" applyFont="1" applyBorder="1" applyAlignment="1">
      <alignment vertical="center" wrapText="1"/>
    </xf>
    <xf numFmtId="0" fontId="0" fillId="0" borderId="61" xfId="0" applyBorder="1" applyAlignment="1">
      <alignment vertical="center" wrapText="1"/>
    </xf>
    <xf numFmtId="3" fontId="38" fillId="9" borderId="61" xfId="0" applyNumberFormat="1" applyFont="1" applyFill="1" applyBorder="1" applyAlignment="1">
      <alignment vertical="center" wrapText="1"/>
    </xf>
    <xf numFmtId="173" fontId="5" fillId="0" borderId="45" xfId="0" applyNumberFormat="1" applyFont="1" applyBorder="1" applyAlignment="1">
      <alignment horizontal="center"/>
    </xf>
    <xf numFmtId="173" fontId="5" fillId="0" borderId="46" xfId="0" applyNumberFormat="1" applyFont="1" applyBorder="1" applyAlignment="1">
      <alignment horizontal="center"/>
    </xf>
    <xf numFmtId="173" fontId="5" fillId="0" borderId="47" xfId="0" applyNumberFormat="1" applyFont="1" applyBorder="1" applyAlignment="1">
      <alignment horizontal="center"/>
    </xf>
    <xf numFmtId="0" fontId="20" fillId="0" borderId="36" xfId="0" applyFont="1" applyBorder="1" applyAlignment="1">
      <alignment horizontal="center" wrapText="1"/>
    </xf>
    <xf numFmtId="0" fontId="20" fillId="0" borderId="40" xfId="0" applyFont="1" applyBorder="1" applyAlignment="1">
      <alignment horizontal="center" wrapText="1"/>
    </xf>
    <xf numFmtId="0" fontId="20" fillId="0" borderId="35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18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6" xfId="0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0" fontId="20" fillId="0" borderId="0" xfId="0" applyFont="1" applyAlignment="1">
      <alignment horizontal="center"/>
    </xf>
    <xf numFmtId="14" fontId="21" fillId="0" borderId="57" xfId="0" applyNumberFormat="1" applyFont="1" applyBorder="1" applyAlignment="1">
      <alignment horizontal="center"/>
    </xf>
    <xf numFmtId="14" fontId="21" fillId="0" borderId="58" xfId="0" applyNumberFormat="1" applyFont="1" applyBorder="1" applyAlignment="1">
      <alignment horizontal="center"/>
    </xf>
    <xf numFmtId="14" fontId="21" fillId="0" borderId="59" xfId="0" applyNumberFormat="1" applyFont="1" applyBorder="1" applyAlignment="1">
      <alignment horizontal="center"/>
    </xf>
    <xf numFmtId="0" fontId="23" fillId="0" borderId="57" xfId="0" applyFont="1" applyBorder="1" applyAlignment="1">
      <alignment horizontal="center"/>
    </xf>
    <xf numFmtId="0" fontId="23" fillId="0" borderId="58" xfId="0" applyFont="1" applyBorder="1" applyAlignment="1">
      <alignment horizontal="center"/>
    </xf>
    <xf numFmtId="0" fontId="23" fillId="0" borderId="59" xfId="0" applyFont="1" applyBorder="1" applyAlignment="1">
      <alignment horizontal="center"/>
    </xf>
    <xf numFmtId="0" fontId="20" fillId="0" borderId="36" xfId="0" applyFont="1" applyBorder="1" applyAlignment="1">
      <alignment horizontal="center"/>
    </xf>
    <xf numFmtId="0" fontId="20" fillId="0" borderId="40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5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40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textRotation="255"/>
    </xf>
    <xf numFmtId="0" fontId="29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10" fontId="80" fillId="8" borderId="6" xfId="0" applyNumberFormat="1" applyFont="1" applyFill="1" applyBorder="1" applyAlignment="1">
      <alignment horizontal="center" vertical="center"/>
    </xf>
    <xf numFmtId="0" fontId="80" fillId="8" borderId="40" xfId="0" applyFont="1" applyFill="1" applyBorder="1" applyAlignment="1">
      <alignment horizontal="center" vertical="center"/>
    </xf>
    <xf numFmtId="10" fontId="80" fillId="14" borderId="6" xfId="0" applyNumberFormat="1" applyFont="1" applyFill="1" applyBorder="1" applyAlignment="1">
      <alignment horizontal="center" vertical="center"/>
    </xf>
    <xf numFmtId="0" fontId="80" fillId="14" borderId="40" xfId="0" applyFont="1" applyFill="1" applyBorder="1" applyAlignment="1">
      <alignment horizontal="center" vertical="center"/>
    </xf>
    <xf numFmtId="0" fontId="80" fillId="14" borderId="6" xfId="0" applyFont="1" applyFill="1" applyBorder="1" applyAlignment="1">
      <alignment horizontal="center" vertical="center"/>
    </xf>
    <xf numFmtId="0" fontId="81" fillId="8" borderId="75" xfId="0" applyFont="1" applyFill="1" applyBorder="1" applyAlignment="1">
      <alignment horizontal="left" vertical="center"/>
    </xf>
    <xf numFmtId="0" fontId="81" fillId="8" borderId="76" xfId="0" applyFont="1" applyFill="1" applyBorder="1" applyAlignment="1">
      <alignment horizontal="left" vertical="center"/>
    </xf>
    <xf numFmtId="0" fontId="81" fillId="8" borderId="77" xfId="0" applyFont="1" applyFill="1" applyBorder="1" applyAlignment="1">
      <alignment horizontal="left" vertical="center"/>
    </xf>
    <xf numFmtId="0" fontId="81" fillId="8" borderId="6" xfId="0" applyFont="1" applyFill="1" applyBorder="1" applyAlignment="1">
      <alignment horizontal="left" vertical="center"/>
    </xf>
    <xf numFmtId="0" fontId="81" fillId="8" borderId="52" xfId="0" applyFont="1" applyFill="1" applyBorder="1" applyAlignment="1">
      <alignment horizontal="left" vertical="center"/>
    </xf>
    <xf numFmtId="0" fontId="81" fillId="8" borderId="40" xfId="0" applyFont="1" applyFill="1" applyBorder="1" applyAlignment="1">
      <alignment horizontal="left" vertical="center"/>
    </xf>
    <xf numFmtId="0" fontId="81" fillId="8" borderId="78" xfId="0" applyFont="1" applyFill="1" applyBorder="1" applyAlignment="1">
      <alignment horizontal="left" vertical="center"/>
    </xf>
    <xf numFmtId="0" fontId="81" fillId="8" borderId="79" xfId="0" applyFont="1" applyFill="1" applyBorder="1" applyAlignment="1">
      <alignment horizontal="left" vertical="center"/>
    </xf>
    <xf numFmtId="0" fontId="81" fillId="8" borderId="80" xfId="0" applyFont="1" applyFill="1" applyBorder="1" applyAlignment="1">
      <alignment horizontal="left" vertical="center"/>
    </xf>
    <xf numFmtId="0" fontId="55" fillId="8" borderId="0" xfId="0" applyFont="1" applyFill="1" applyAlignment="1">
      <alignment horizontal="center"/>
    </xf>
    <xf numFmtId="0" fontId="56" fillId="8" borderId="0" xfId="0" applyFont="1" applyFill="1" applyAlignment="1">
      <alignment horizontal="center"/>
    </xf>
    <xf numFmtId="0" fontId="29" fillId="0" borderId="15" xfId="0" applyFont="1" applyBorder="1" applyAlignment="1">
      <alignment horizontal="center"/>
    </xf>
    <xf numFmtId="0" fontId="29" fillId="0" borderId="16" xfId="0" applyFont="1" applyBorder="1" applyAlignment="1">
      <alignment horizontal="center"/>
    </xf>
    <xf numFmtId="0" fontId="29" fillId="0" borderId="17" xfId="0" applyFont="1" applyBorder="1" applyAlignment="1">
      <alignment horizontal="center"/>
    </xf>
    <xf numFmtId="0" fontId="29" fillId="0" borderId="36" xfId="0" applyFont="1" applyBorder="1" applyAlignment="1">
      <alignment horizontal="center"/>
    </xf>
    <xf numFmtId="0" fontId="29" fillId="0" borderId="52" xfId="0" applyFont="1" applyBorder="1" applyAlignment="1">
      <alignment horizontal="center"/>
    </xf>
    <xf numFmtId="0" fontId="29" fillId="0" borderId="42" xfId="0" applyFont="1" applyBorder="1" applyAlignment="1">
      <alignment horizontal="center"/>
    </xf>
    <xf numFmtId="171" fontId="7" fillId="0" borderId="1" xfId="2" applyNumberFormat="1" applyFont="1" applyBorder="1" applyAlignment="1">
      <alignment horizontal="center"/>
    </xf>
    <xf numFmtId="0" fontId="25" fillId="0" borderId="24" xfId="0" applyFont="1" applyBorder="1"/>
    <xf numFmtId="41" fontId="25" fillId="0" borderId="24" xfId="0" applyNumberFormat="1" applyFont="1" applyBorder="1"/>
    <xf numFmtId="41" fontId="25" fillId="0" borderId="28" xfId="0" applyNumberFormat="1" applyFont="1" applyBorder="1"/>
    <xf numFmtId="41" fontId="13" fillId="0" borderId="28" xfId="2" applyFont="1" applyBorder="1"/>
    <xf numFmtId="0" fontId="13" fillId="0" borderId="12" xfId="0" applyFont="1" applyBorder="1"/>
    <xf numFmtId="0" fontId="10" fillId="0" borderId="22" xfId="0" applyFont="1" applyBorder="1"/>
    <xf numFmtId="41" fontId="0" fillId="0" borderId="36" xfId="0" applyNumberFormat="1" applyBorder="1"/>
    <xf numFmtId="41" fontId="19" fillId="0" borderId="52" xfId="0" applyNumberFormat="1" applyFont="1" applyBorder="1"/>
    <xf numFmtId="41" fontId="0" fillId="0" borderId="52" xfId="0" applyNumberFormat="1" applyBorder="1"/>
  </cellXfs>
  <cellStyles count="8">
    <cellStyle name="Collegamento ipertestuale" xfId="7" builtinId="8"/>
    <cellStyle name="Euro" xfId="1" xr:uid="{00000000-0005-0000-0000-000000000000}"/>
    <cellStyle name="Migliaia" xfId="4" builtinId="3"/>
    <cellStyle name="Migliaia [0]" xfId="2" builtinId="6"/>
    <cellStyle name="Migliaia 10" xfId="6" xr:uid="{AEEB63DC-2509-4D40-BD30-F93C9BF9E85A}"/>
    <cellStyle name="Normale" xfId="0" builtinId="0"/>
    <cellStyle name="Normale 15 2" xfId="5" xr:uid="{5D854947-84A3-914F-8662-7C7D73327697}"/>
    <cellStyle name="Percentuale" xfId="3" builtinId="5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color theme="1"/>
        <family val="2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ymbol"/>
        <family val="2"/>
        <charset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border outline="0">
        <left style="thin">
          <color auto="1"/>
        </left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Verdana"/>
        <family val="2"/>
        <scheme val="none"/>
      </font>
      <fill>
        <patternFill patternType="solid">
          <fgColor rgb="FFB8CCE4"/>
          <bgColor rgb="FFB8CCE4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color theme="1"/>
        <family val="2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ymbol"/>
        <family val="2"/>
        <charset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border outline="0">
        <left style="thin">
          <color auto="1"/>
        </left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Verdana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  <alignment horizontal="center" vertical="bottom" textRotation="0" wrapText="0" indent="0" justifyLastLine="0" shrinkToFit="0" readingOrder="0"/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07/relationships/slicerCache" Target="slicerCaches/slicerCache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microsoft.com/office/2007/relationships/slicerCache" Target="slicerCaches/slicerCache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07/relationships/slicerCache" Target="slicerCaches/slicerCache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indice!$B$17</c:f>
              <c:strCache>
                <c:ptCount val="1"/>
                <c:pt idx="0">
                  <c:v>FATTURATO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indice!$C$16:$E$16</c:f>
              <c:strCache>
                <c:ptCount val="3"/>
                <c:pt idx="0">
                  <c:v>X-1</c:v>
                </c:pt>
                <c:pt idx="1">
                  <c:v>X</c:v>
                </c:pt>
                <c:pt idx="2">
                  <c:v>X+1</c:v>
                </c:pt>
              </c:strCache>
            </c:strRef>
          </c:cat>
          <c:val>
            <c:numRef>
              <c:f>indice!$C$17:$E$17</c:f>
              <c:numCache>
                <c:formatCode>_(* #,##0.00_);_(* \(#,##0.00\);_(* "-"??_);_(@_)</c:formatCode>
                <c:ptCount val="3"/>
                <c:pt idx="0">
                  <c:v>5207538</c:v>
                </c:pt>
                <c:pt idx="1">
                  <c:v>5554067</c:v>
                </c:pt>
                <c:pt idx="2">
                  <c:v>5946826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AF-1F4D-BAE7-14D200768D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89781984"/>
        <c:axId val="78474080"/>
      </c:lineChart>
      <c:catAx>
        <c:axId val="28978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8474080"/>
        <c:crosses val="autoZero"/>
        <c:auto val="1"/>
        <c:lblAlgn val="ctr"/>
        <c:lblOffset val="100"/>
        <c:noMultiLvlLbl val="0"/>
      </c:catAx>
      <c:valAx>
        <c:axId val="78474080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crossAx val="28978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kumimoji="0" lang="en-US" sz="1440" b="0" i="0" u="none" strike="noStrike" kern="1200" cap="none" spc="0" normalizeH="0" baseline="0" noProof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/>
              </a:rPr>
              <a:t>ROI</a:t>
            </a:r>
          </a:p>
          <a:p>
            <a:pPr>
              <a:defRPr/>
            </a:pPr>
            <a:endParaRPr kumimoji="0" lang="en-US" sz="1440" b="0" i="0" u="none" strike="noStrike" kern="1200" cap="none" spc="0" normalizeH="0" baseline="0" noProof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6.6866294071161292E-2"/>
          <c:y val="0.15313090007395486"/>
          <c:w val="0.89443963095906842"/>
          <c:h val="0.691902669624860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indici!$D$61</c:f>
              <c:strCache>
                <c:ptCount val="1"/>
                <c:pt idx="0">
                  <c:v>ROI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indici!$E$60:$H$60</c:f>
              <c:strCache>
                <c:ptCount val="4"/>
                <c:pt idx="0">
                  <c:v>X-1</c:v>
                </c:pt>
                <c:pt idx="1">
                  <c:v>X</c:v>
                </c:pt>
                <c:pt idx="2">
                  <c:v>X+1</c:v>
                </c:pt>
                <c:pt idx="3">
                  <c:v>TARGET</c:v>
                </c:pt>
              </c:strCache>
            </c:strRef>
          </c:cat>
          <c:val>
            <c:numRef>
              <c:f>indici!$E$61:$H$61</c:f>
              <c:numCache>
                <c:formatCode>0.0%</c:formatCode>
                <c:ptCount val="4"/>
                <c:pt idx="0">
                  <c:v>2.7521329573388636E-2</c:v>
                </c:pt>
                <c:pt idx="1">
                  <c:v>4.9912711110246593E-3</c:v>
                </c:pt>
                <c:pt idx="2">
                  <c:v>1.9024734885848178E-2</c:v>
                </c:pt>
                <c:pt idx="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C1-054C-8D55-83A6A65ECA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6157520"/>
        <c:axId val="1356159248"/>
      </c:barChart>
      <c:catAx>
        <c:axId val="135615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56159248"/>
        <c:crosses val="autoZero"/>
        <c:auto val="1"/>
        <c:lblAlgn val="ctr"/>
        <c:lblOffset val="100"/>
        <c:noMultiLvlLbl val="0"/>
      </c:catAx>
      <c:valAx>
        <c:axId val="135615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56157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indici!$N$61</c:f>
              <c:strCache>
                <c:ptCount val="1"/>
                <c:pt idx="0">
                  <c:v>ROE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indici!$O$60:$R$60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indici!$O$61:$R$61</c:f>
              <c:numCache>
                <c:formatCode>0.00%</c:formatCode>
                <c:ptCount val="4"/>
                <c:pt idx="0" formatCode="0.0%">
                  <c:v>3.6648315231459075E-2</c:v>
                </c:pt>
                <c:pt idx="1">
                  <c:v>1.9493463433923415E-3</c:v>
                </c:pt>
                <c:pt idx="2">
                  <c:v>7.8685886691250411E-3</c:v>
                </c:pt>
                <c:pt idx="3" formatCode="0.0%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41-9E4B-9B5D-5B2ADE497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65352256"/>
        <c:axId val="1301786208"/>
      </c:barChart>
      <c:catAx>
        <c:axId val="126535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01786208"/>
        <c:crosses val="autoZero"/>
        <c:auto val="1"/>
        <c:lblAlgn val="ctr"/>
        <c:lblOffset val="100"/>
        <c:noMultiLvlLbl val="0"/>
      </c:catAx>
      <c:valAx>
        <c:axId val="1301786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6535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indici!$D$85</c:f>
              <c:strCache>
                <c:ptCount val="1"/>
                <c:pt idx="0">
                  <c:v>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indici!$E$84:$H$84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indici!$E$85:$H$85</c:f>
              <c:numCache>
                <c:formatCode>0.00%</c:formatCode>
                <c:ptCount val="4"/>
                <c:pt idx="0" formatCode="0.0%">
                  <c:v>3.1876675695885467E-2</c:v>
                </c:pt>
                <c:pt idx="1">
                  <c:v>5.5440454715436453E-3</c:v>
                </c:pt>
                <c:pt idx="2">
                  <c:v>1.9683441217214024E-2</c:v>
                </c:pt>
                <c:pt idx="3" formatCode="0.0%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F-B140-BEDA-A379BCA8D8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20829392"/>
        <c:axId val="1264844192"/>
      </c:barChart>
      <c:catAx>
        <c:axId val="1720829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64844192"/>
        <c:crosses val="autoZero"/>
        <c:auto val="1"/>
        <c:lblAlgn val="ctr"/>
        <c:lblOffset val="100"/>
        <c:noMultiLvlLbl val="0"/>
      </c:catAx>
      <c:valAx>
        <c:axId val="1264844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20829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1738816578785527"/>
          <c:y val="0.12074831886890051"/>
          <c:w val="0.88261183421214473"/>
          <c:h val="0.78001810448876374"/>
        </c:manualLayout>
      </c:layout>
      <c:lineChart>
        <c:grouping val="standard"/>
        <c:varyColors val="0"/>
        <c:ser>
          <c:idx val="0"/>
          <c:order val="0"/>
          <c:tx>
            <c:strRef>
              <c:f>indici!$N$85</c:f>
              <c:strCache>
                <c:ptCount val="1"/>
                <c:pt idx="0">
                  <c:v>MT/MP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indici!$O$84:$R$84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indici!$O$85:$R$85</c:f>
              <c:numCache>
                <c:formatCode>_(* #,##0.00_);_(* \(#,##0.00\);_(* "-"??_);_(@_)</c:formatCode>
                <c:ptCount val="4"/>
                <c:pt idx="0">
                  <c:v>1.3337426906693999</c:v>
                </c:pt>
                <c:pt idx="1">
                  <c:v>1.3822997189512145</c:v>
                </c:pt>
                <c:pt idx="2">
                  <c:v>1.3572537713711028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6F-CE44-BA83-7DBE9C9995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4675488"/>
        <c:axId val="940829504"/>
      </c:lineChart>
      <c:catAx>
        <c:axId val="151467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40829504"/>
        <c:crosses val="autoZero"/>
        <c:auto val="1"/>
        <c:lblAlgn val="ctr"/>
        <c:lblOffset val="100"/>
        <c:noMultiLvlLbl val="0"/>
      </c:catAx>
      <c:valAx>
        <c:axId val="940829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1467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indici!$D$107</c:f>
              <c:strCache>
                <c:ptCount val="1"/>
                <c:pt idx="0">
                  <c:v>PFN/MOL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indici!$E$106:$H$106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indici!$E$107:$H$107</c:f>
              <c:numCache>
                <c:formatCode>_(* #,##0.00_);_(* \(#,##0.00\);_(* "-"??_);_(@_)</c:formatCode>
                <c:ptCount val="4"/>
                <c:pt idx="0">
                  <c:v>-7.0901987212218058</c:v>
                </c:pt>
                <c:pt idx="1">
                  <c:v>-8.767843930350713</c:v>
                </c:pt>
                <c:pt idx="2">
                  <c:v>-8.2239068249686369</c:v>
                </c:pt>
                <c:pt idx="3" formatCode="0.0%">
                  <c:v>-3.5000000000000003E-2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33-8E4F-BFA7-1D31F579CB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2390896"/>
        <c:axId val="1452853904"/>
      </c:lineChart>
      <c:catAx>
        <c:axId val="147239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52853904"/>
        <c:crosses val="autoZero"/>
        <c:auto val="1"/>
        <c:lblAlgn val="ctr"/>
        <c:lblOffset val="100"/>
        <c:noMultiLvlLbl val="0"/>
      </c:catAx>
      <c:valAx>
        <c:axId val="1452853904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239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indici!$N$107</c:f>
              <c:strCache>
                <c:ptCount val="1"/>
                <c:pt idx="0">
                  <c:v>LIQUIDITA'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indici!$O$106:$R$106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indici!$O$107:$R$107</c:f>
              <c:numCache>
                <c:formatCode>0%</c:formatCode>
                <c:ptCount val="4"/>
                <c:pt idx="0">
                  <c:v>3.548661087049626E-3</c:v>
                </c:pt>
                <c:pt idx="1">
                  <c:v>4.5644543903758253E-3</c:v>
                </c:pt>
                <c:pt idx="2">
                  <c:v>1.7034568324203641E-3</c:v>
                </c:pt>
                <c:pt idx="3" formatCode="0.0%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C-174B-B3D4-B84396B084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2751712"/>
        <c:axId val="1681326704"/>
      </c:barChart>
      <c:catAx>
        <c:axId val="134275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81326704"/>
        <c:crosses val="autoZero"/>
        <c:auto val="1"/>
        <c:lblAlgn val="ctr"/>
        <c:lblOffset val="100"/>
        <c:noMultiLvlLbl val="0"/>
      </c:catAx>
      <c:valAx>
        <c:axId val="1681326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4275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indici!$D$129</c:f>
              <c:strCache>
                <c:ptCount val="1"/>
                <c:pt idx="0">
                  <c:v>CASH REDDITUALE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indici!$E$128:$H$128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indici!$E$129:$H$129</c:f>
              <c:numCache>
                <c:formatCode>_(* #,##0.00_);_(* \(#,##0.00\);_(* "-"??_);_(@_)</c:formatCode>
                <c:ptCount val="4"/>
                <c:pt idx="0">
                  <c:v>502135</c:v>
                </c:pt>
                <c:pt idx="1">
                  <c:v>467987</c:v>
                </c:pt>
                <c:pt idx="2">
                  <c:v>423822</c:v>
                </c:pt>
                <c:pt idx="3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61-744B-89BC-CADA686DF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78639776"/>
        <c:axId val="1478898416"/>
      </c:barChart>
      <c:catAx>
        <c:axId val="1478639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8898416"/>
        <c:crosses val="autoZero"/>
        <c:auto val="1"/>
        <c:lblAlgn val="ctr"/>
        <c:lblOffset val="100"/>
        <c:noMultiLvlLbl val="0"/>
      </c:catAx>
      <c:valAx>
        <c:axId val="1478898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863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indici!$N$129</c:f>
              <c:strCache>
                <c:ptCount val="1"/>
                <c:pt idx="0">
                  <c:v>R/COSTO PER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indici!$O$128:$R$128</c:f>
              <c:strCache>
                <c:ptCount val="4"/>
                <c:pt idx="0">
                  <c:v> #RIF! </c:v>
                </c:pt>
                <c:pt idx="1">
                  <c:v> #RIF! </c:v>
                </c:pt>
                <c:pt idx="2">
                  <c:v> #RIF! </c:v>
                </c:pt>
                <c:pt idx="3">
                  <c:v> TARGET </c:v>
                </c:pt>
              </c:strCache>
            </c:strRef>
          </c:cat>
          <c:val>
            <c:numRef>
              <c:f>indici!$O$129:$R$129</c:f>
              <c:numCache>
                <c:formatCode>_(* #,##0.00_);_(* \(#,##0.00\);_(* "-"??_);_(@_)</c:formatCode>
                <c:ptCount val="4"/>
                <c:pt idx="0">
                  <c:v>6.5903520228404808</c:v>
                </c:pt>
                <c:pt idx="1">
                  <c:v>6.8584392731673285</c:v>
                </c:pt>
                <c:pt idx="2">
                  <c:v>7.0818394982190682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6446-B6FD-A49994C3C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9309616"/>
        <c:axId val="1478534080"/>
      </c:barChart>
      <c:catAx>
        <c:axId val="147930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8534080"/>
        <c:crosses val="autoZero"/>
        <c:auto val="1"/>
        <c:lblAlgn val="ctr"/>
        <c:lblOffset val="100"/>
        <c:noMultiLvlLbl val="0"/>
      </c:catAx>
      <c:valAx>
        <c:axId val="1478534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930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indici!$D$151</c:f>
              <c:strCache>
                <c:ptCount val="1"/>
                <c:pt idx="0">
                  <c:v>VA/PER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indici!$E$150:$H$150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indici!$E$151:$H$151</c:f>
              <c:numCache>
                <c:formatCode>_(* #,##0.00_);_(* \(#,##0.00\);_(* "-"??_);_(@_)</c:formatCode>
                <c:ptCount val="4"/>
                <c:pt idx="0">
                  <c:v>90994.21428571429</c:v>
                </c:pt>
                <c:pt idx="1">
                  <c:v>86805.357142857145</c:v>
                </c:pt>
                <c:pt idx="2">
                  <c:v>84624.8</c:v>
                </c:pt>
                <c:pt idx="3">
                  <c:v>70000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A1-E149-A46D-531944C7C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9992816"/>
        <c:axId val="1285728112"/>
      </c:barChart>
      <c:catAx>
        <c:axId val="142999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85728112"/>
        <c:crosses val="autoZero"/>
        <c:auto val="1"/>
        <c:lblAlgn val="ctr"/>
        <c:lblOffset val="100"/>
        <c:noMultiLvlLbl val="0"/>
      </c:catAx>
      <c:valAx>
        <c:axId val="1285728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2999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indici!$N$151</c:f>
              <c:strCache>
                <c:ptCount val="1"/>
                <c:pt idx="0">
                  <c:v>GG CLIENTI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indici!$O$150:$R$150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indici!$O$151:$R$151</c:f>
              <c:numCache>
                <c:formatCode>_(* #,##0.00_);_(* \(#,##0.00\);_(* "-"??_);_(@_)</c:formatCode>
                <c:ptCount val="4"/>
                <c:pt idx="0">
                  <c:v>83.394333368282673</c:v>
                </c:pt>
                <c:pt idx="1">
                  <c:v>83.801336930217076</c:v>
                </c:pt>
                <c:pt idx="2">
                  <c:v>83.233442512022393</c:v>
                </c:pt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C3-3547-872D-803A482FE0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25507312"/>
        <c:axId val="1325752352"/>
      </c:barChart>
      <c:catAx>
        <c:axId val="132550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25752352"/>
        <c:crosses val="autoZero"/>
        <c:auto val="1"/>
        <c:lblAlgn val="ctr"/>
        <c:lblOffset val="100"/>
        <c:noMultiLvlLbl val="0"/>
      </c:catAx>
      <c:valAx>
        <c:axId val="1325752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25507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indice!$B$22</c:f>
              <c:strCache>
                <c:ptCount val="1"/>
                <c:pt idx="0">
                  <c:v>EBITDA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indice!$C$21:$E$21</c:f>
              <c:strCache>
                <c:ptCount val="3"/>
                <c:pt idx="0">
                  <c:v>X-1</c:v>
                </c:pt>
                <c:pt idx="1">
                  <c:v>X</c:v>
                </c:pt>
                <c:pt idx="2">
                  <c:v>X+1</c:v>
                </c:pt>
              </c:strCache>
            </c:strRef>
          </c:cat>
          <c:val>
            <c:numRef>
              <c:f>indice!$C$22:$E$22</c:f>
              <c:numCache>
                <c:formatCode>_(* #,##0.00_);_(* \(#,##0.00\);_(* "-"??_);_(@_)</c:formatCode>
                <c:ptCount val="3"/>
                <c:pt idx="0">
                  <c:v>483743</c:v>
                </c:pt>
                <c:pt idx="1">
                  <c:v>405460</c:v>
                </c:pt>
                <c:pt idx="2">
                  <c:v>429643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08-3B44-BDE6-7C028A951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90248111"/>
        <c:axId val="1697082223"/>
      </c:barChart>
      <c:catAx>
        <c:axId val="1990248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97082223"/>
        <c:crosses val="autoZero"/>
        <c:auto val="1"/>
        <c:lblAlgn val="ctr"/>
        <c:lblOffset val="100"/>
        <c:noMultiLvlLbl val="0"/>
      </c:catAx>
      <c:valAx>
        <c:axId val="1697082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90248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indici!$D$176</c:f>
              <c:strCache>
                <c:ptCount val="1"/>
                <c:pt idx="0">
                  <c:v>GG FOR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indici!$E$175:$H$175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indici!$E$176:$H$176</c:f>
              <c:numCache>
                <c:formatCode>_(* #,##0.00_);_(* \(#,##0.00\);_(* "-"??_);_(@_)</c:formatCode>
                <c:ptCount val="4"/>
                <c:pt idx="0">
                  <c:v>206.77743319828386</c:v>
                </c:pt>
                <c:pt idx="1">
                  <c:v>228.86974992117621</c:v>
                </c:pt>
                <c:pt idx="2">
                  <c:v>200.18575062416437</c:v>
                </c:pt>
                <c:pt idx="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DE-7847-8667-0A191A43C0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59674944"/>
        <c:axId val="1265351776"/>
      </c:barChart>
      <c:catAx>
        <c:axId val="145967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65351776"/>
        <c:crosses val="autoZero"/>
        <c:auto val="1"/>
        <c:lblAlgn val="ctr"/>
        <c:lblOffset val="100"/>
        <c:noMultiLvlLbl val="0"/>
      </c:catAx>
      <c:valAx>
        <c:axId val="126535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5967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indici!$N$176</c:f>
              <c:strCache>
                <c:ptCount val="1"/>
                <c:pt idx="0">
                  <c:v>GG MAGAZZINO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indici!$O$175:$R$175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indici!$O$176:$R$176</c:f>
              <c:numCache>
                <c:formatCode>_(* #,##0.00_);_(* \(#,##0.00\);_(* "-"??_);_(@_)</c:formatCode>
                <c:ptCount val="4"/>
                <c:pt idx="0">
                  <c:v>205.28443191389098</c:v>
                </c:pt>
                <c:pt idx="1">
                  <c:v>212.81913956025377</c:v>
                </c:pt>
                <c:pt idx="2">
                  <c:v>199.7077768880408</c:v>
                </c:pt>
                <c:pt idx="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6E-D040-A8BB-F32EF2A8B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65461776"/>
        <c:axId val="1792079536"/>
      </c:barChart>
      <c:catAx>
        <c:axId val="126546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92079536"/>
        <c:crosses val="autoZero"/>
        <c:auto val="1"/>
        <c:lblAlgn val="ctr"/>
        <c:lblOffset val="100"/>
        <c:noMultiLvlLbl val="0"/>
      </c:catAx>
      <c:valAx>
        <c:axId val="179207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6546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indici!$D$199</c:f>
              <c:strCache>
                <c:ptCount val="1"/>
                <c:pt idx="0">
                  <c:v>GG CL+GG MAG-GGFOR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indici!$E$198:$H$198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indici!$E$199:$H$199</c:f>
              <c:numCache>
                <c:formatCode>_(* #,##0.00_);_(* \(#,##0.00\);_(* "-"??_);_(@_)</c:formatCode>
                <c:ptCount val="4"/>
                <c:pt idx="0">
                  <c:v>81.901332083889798</c:v>
                </c:pt>
                <c:pt idx="1">
                  <c:v>67.750726569294642</c:v>
                </c:pt>
                <c:pt idx="2">
                  <c:v>82.755468775898819</c:v>
                </c:pt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7A-144C-B1A3-9D7EFA26A2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2564112"/>
        <c:axId val="1048813264"/>
      </c:barChart>
      <c:catAx>
        <c:axId val="179256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48813264"/>
        <c:crosses val="autoZero"/>
        <c:auto val="1"/>
        <c:lblAlgn val="ctr"/>
        <c:lblOffset val="100"/>
        <c:noMultiLvlLbl val="0"/>
      </c:catAx>
      <c:valAx>
        <c:axId val="1048813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9256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indici!$N$199</c:f>
              <c:strCache>
                <c:ptCount val="1"/>
                <c:pt idx="0">
                  <c:v>D FATTURATO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indici!$O$198:$R$198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indici!$O$199:$R$199</c:f>
              <c:numCache>
                <c:formatCode>0.0%</c:formatCode>
                <c:ptCount val="4"/>
                <c:pt idx="0">
                  <c:v>0</c:v>
                </c:pt>
                <c:pt idx="1">
                  <c:v>6.6543729493668602E-2</c:v>
                </c:pt>
                <c:pt idx="2">
                  <c:v>7.0715567529163748E-2</c:v>
                </c:pt>
                <c:pt idx="3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9-734D-A20B-CE4CA6CEF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61337632"/>
        <c:axId val="1861312160"/>
      </c:barChart>
      <c:catAx>
        <c:axId val="186133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61312160"/>
        <c:crosses val="autoZero"/>
        <c:auto val="1"/>
        <c:lblAlgn val="ctr"/>
        <c:lblOffset val="100"/>
        <c:noMultiLvlLbl val="0"/>
      </c:catAx>
      <c:valAx>
        <c:axId val="186131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61337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indici!$D$222</c:f>
              <c:strCache>
                <c:ptCount val="1"/>
                <c:pt idx="0">
                  <c:v>MT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indici!$E$221:$H$221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indici!$E$222:$H$222</c:f>
              <c:numCache>
                <c:formatCode>_(* #,##0.00_);_(* \(#,##0.00\);_(* "-"??_);_(@_)</c:formatCode>
                <c:ptCount val="4"/>
                <c:pt idx="0">
                  <c:v>3447110</c:v>
                </c:pt>
                <c:pt idx="1">
                  <c:v>3579584</c:v>
                </c:pt>
                <c:pt idx="2">
                  <c:v>3542602</c:v>
                </c:pt>
                <c:pt idx="3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86-AD4B-A702-068444C17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40628832"/>
        <c:axId val="1839351264"/>
      </c:barChart>
      <c:catAx>
        <c:axId val="94062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39351264"/>
        <c:crosses val="autoZero"/>
        <c:auto val="1"/>
        <c:lblAlgn val="ctr"/>
        <c:lblOffset val="100"/>
        <c:noMultiLvlLbl val="0"/>
      </c:catAx>
      <c:valAx>
        <c:axId val="1839351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40628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indici!$N$222</c:f>
              <c:strCache>
                <c:ptCount val="1"/>
                <c:pt idx="0">
                  <c:v>MP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indici!$O$221:$R$221</c:f>
              <c:strCache>
                <c:ptCount val="4"/>
                <c:pt idx="0">
                  <c:v>#RIF!</c:v>
                </c:pt>
                <c:pt idx="1">
                  <c:v>#RIF!</c:v>
                </c:pt>
                <c:pt idx="2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indici!$O$222:$R$222</c:f>
              <c:numCache>
                <c:formatCode>_(* #,##0.00_);_(* \(#,##0.00\);_(* "-"??_);_(@_)</c:formatCode>
                <c:ptCount val="4"/>
                <c:pt idx="0">
                  <c:v>2584539</c:v>
                </c:pt>
                <c:pt idx="1">
                  <c:v>2589586</c:v>
                </c:pt>
                <c:pt idx="2">
                  <c:v>2610125</c:v>
                </c:pt>
                <c:pt idx="3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67-4244-8A6A-0B25542A8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38740800"/>
        <c:axId val="1472912416"/>
      </c:barChart>
      <c:catAx>
        <c:axId val="153874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2912416"/>
        <c:crosses val="autoZero"/>
        <c:auto val="1"/>
        <c:lblAlgn val="ctr"/>
        <c:lblOffset val="100"/>
        <c:noMultiLvlLbl val="0"/>
      </c:catAx>
      <c:valAx>
        <c:axId val="147291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3874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'Kri e Kpi'!$D$48</c:f>
              <c:strCache>
                <c:ptCount val="1"/>
                <c:pt idx="0">
                  <c:v>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'Kri e Kpi'!$E$47:$H$47</c:f>
              <c:strCache>
                <c:ptCount val="4"/>
                <c:pt idx="0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'Kri e Kpi'!$E$48:$H$48</c:f>
              <c:numCache>
                <c:formatCode>0%</c:formatCode>
                <c:ptCount val="4"/>
                <c:pt idx="0" formatCode="0.0%">
                  <c:v>3.2000000000000001E-2</c:v>
                </c:pt>
                <c:pt idx="1">
                  <c:v>3.5000000000000003E-2</c:v>
                </c:pt>
                <c:pt idx="2">
                  <c:v>0.04</c:v>
                </c:pt>
                <c:pt idx="3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85-E34F-AF48-79978D4DBA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4924624"/>
        <c:axId val="1474926336"/>
      </c:barChart>
      <c:catAx>
        <c:axId val="147492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4926336"/>
        <c:crosses val="autoZero"/>
        <c:auto val="1"/>
        <c:lblAlgn val="ctr"/>
        <c:lblOffset val="100"/>
        <c:noMultiLvlLbl val="0"/>
      </c:catAx>
      <c:valAx>
        <c:axId val="1474926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492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INDICE</a:t>
            </a:r>
            <a:r>
              <a:rPr lang="en-US" baseline="0"/>
              <a:t> DI LIQUIDITA'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'Kri e Kpi'!$N$48</c:f>
              <c:strCache>
                <c:ptCount val="1"/>
                <c:pt idx="0">
                  <c:v>LIQUIDITA'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'Kri e Kpi'!$O$47:$R$47</c:f>
              <c:strCache>
                <c:ptCount val="4"/>
                <c:pt idx="0">
                  <c:v>#RIF!</c:v>
                </c:pt>
                <c:pt idx="3">
                  <c:v>TARGET</c:v>
                </c:pt>
              </c:strCache>
            </c:strRef>
          </c:cat>
          <c:val>
            <c:numRef>
              <c:f>'Kri e Kpi'!$O$48:$R$48</c:f>
              <c:numCache>
                <c:formatCode>0.00%</c:formatCode>
                <c:ptCount val="4"/>
                <c:pt idx="0">
                  <c:v>3.548661087049626E-3</c:v>
                </c:pt>
                <c:pt idx="1">
                  <c:v>4.5644543903758253E-3</c:v>
                </c:pt>
                <c:pt idx="2">
                  <c:v>1.7034568324203641E-3</c:v>
                </c:pt>
                <c:pt idx="3" formatCode="0%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2B-8445-9E73-28C49A5F1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93983775"/>
        <c:axId val="1744410256"/>
      </c:barChart>
      <c:catAx>
        <c:axId val="139398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44410256"/>
        <c:crosses val="autoZero"/>
        <c:auto val="1"/>
        <c:lblAlgn val="ctr"/>
        <c:lblOffset val="100"/>
        <c:noMultiLvlLbl val="0"/>
      </c:catAx>
      <c:valAx>
        <c:axId val="1744410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939837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% SODDISFAZIONE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4"/>
              <c:pt idx="0">
                <c:v>gen</c:v>
              </c:pt>
              <c:pt idx="1">
                <c:v>feb</c:v>
              </c:pt>
              <c:pt idx="2">
                <c:v>mar</c:v>
              </c:pt>
              <c:pt idx="3">
                <c:v>TARGET</c:v>
              </c:pt>
            </c:strLit>
          </c:cat>
          <c:val>
            <c:numLit>
              <c:formatCode>General</c:formatCode>
              <c:ptCount val="4"/>
              <c:pt idx="0">
                <c:v>0.7</c:v>
              </c:pt>
              <c:pt idx="1">
                <c:v>0.5</c:v>
              </c:pt>
              <c:pt idx="2">
                <c:v>0.6</c:v>
              </c:pt>
              <c:pt idx="3">
                <c:v>0.8</c:v>
              </c:pt>
            </c:numLit>
          </c:val>
          <c:extLst>
            <c:ext xmlns:c16="http://schemas.microsoft.com/office/drawing/2014/chart" uri="{C3380CC4-5D6E-409C-BE32-E72D297353CC}">
              <c16:uniqueId val="{00000000-A6E8-BE43-8F1F-DD6D3B9B23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10713504"/>
        <c:axId val="1510715216"/>
      </c:barChart>
      <c:catAx>
        <c:axId val="15107135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10715216"/>
        <c:crosses val="autoZero"/>
        <c:auto val="1"/>
        <c:lblAlgn val="ctr"/>
        <c:lblOffset val="100"/>
        <c:noMultiLvlLbl val="0"/>
      </c:catAx>
      <c:valAx>
        <c:axId val="1510715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1071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NR ALLIEVI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4"/>
              <c:pt idx="0">
                <c:v>gen</c:v>
              </c:pt>
              <c:pt idx="1">
                <c:v>feb</c:v>
              </c:pt>
              <c:pt idx="2">
                <c:v>mar</c:v>
              </c:pt>
              <c:pt idx="3">
                <c:v>TARGET</c:v>
              </c:pt>
            </c:strLit>
          </c:cat>
          <c:val>
            <c:numLit>
              <c:formatCode>General</c:formatCode>
              <c:ptCount val="4"/>
              <c:pt idx="0">
                <c:v>2</c:v>
              </c:pt>
              <c:pt idx="1">
                <c:v>3</c:v>
              </c:pt>
              <c:pt idx="2">
                <c:v>5</c:v>
              </c:pt>
              <c:pt idx="3">
                <c:v>0.06</c:v>
              </c:pt>
            </c:numLit>
          </c:val>
          <c:extLst>
            <c:ext xmlns:c16="http://schemas.microsoft.com/office/drawing/2014/chart" uri="{C3380CC4-5D6E-409C-BE32-E72D297353CC}">
              <c16:uniqueId val="{00000000-0F13-F446-8E25-9AFD55AE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74689040"/>
        <c:axId val="1474559104"/>
      </c:barChart>
      <c:catAx>
        <c:axId val="1474689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4559104"/>
        <c:crosses val="autoZero"/>
        <c:auto val="1"/>
        <c:lblAlgn val="ctr"/>
        <c:lblOffset val="100"/>
        <c:noMultiLvlLbl val="0"/>
      </c:catAx>
      <c:valAx>
        <c:axId val="1474559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468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REDDITIVITA'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indice!$B$25</c:f>
              <c:strCache>
                <c:ptCount val="1"/>
                <c:pt idx="0">
                  <c:v>ROI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indice!$C$24:$E$24</c:f>
              <c:strCache>
                <c:ptCount val="3"/>
                <c:pt idx="0">
                  <c:v>X-1</c:v>
                </c:pt>
                <c:pt idx="1">
                  <c:v>X</c:v>
                </c:pt>
                <c:pt idx="2">
                  <c:v>X+1</c:v>
                </c:pt>
              </c:strCache>
            </c:strRef>
          </c:cat>
          <c:val>
            <c:numRef>
              <c:f>indice!$C$25:$E$25</c:f>
              <c:numCache>
                <c:formatCode>0%</c:formatCode>
                <c:ptCount val="3"/>
                <c:pt idx="0">
                  <c:v>2.7521329573388636E-2</c:v>
                </c:pt>
                <c:pt idx="1">
                  <c:v>4.9912711110246593E-3</c:v>
                </c:pt>
                <c:pt idx="2">
                  <c:v>1.9024734885848178E-2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43-3A47-9241-DA9F64B16BD2}"/>
            </c:ext>
          </c:extLst>
        </c:ser>
        <c:ser>
          <c:idx val="1"/>
          <c:order val="1"/>
          <c:tx>
            <c:strRef>
              <c:f>indice!$B$26</c:f>
              <c:strCache>
                <c:ptCount val="1"/>
                <c:pt idx="0">
                  <c:v>ROE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indice!$C$24:$E$24</c:f>
              <c:strCache>
                <c:ptCount val="3"/>
                <c:pt idx="0">
                  <c:v>X-1</c:v>
                </c:pt>
                <c:pt idx="1">
                  <c:v>X</c:v>
                </c:pt>
                <c:pt idx="2">
                  <c:v>X+1</c:v>
                </c:pt>
              </c:strCache>
            </c:strRef>
          </c:cat>
          <c:val>
            <c:numRef>
              <c:f>indice!$C$26:$E$26</c:f>
              <c:numCache>
                <c:formatCode>0%</c:formatCode>
                <c:ptCount val="3"/>
                <c:pt idx="0">
                  <c:v>3.6648315231459075E-2</c:v>
                </c:pt>
                <c:pt idx="1">
                  <c:v>1.9493463433923415E-3</c:v>
                </c:pt>
                <c:pt idx="2">
                  <c:v>7.8685886691250411E-3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43-3A47-9241-DA9F64B16BD2}"/>
            </c:ext>
          </c:extLst>
        </c:ser>
        <c:ser>
          <c:idx val="2"/>
          <c:order val="2"/>
          <c:tx>
            <c:strRef>
              <c:f>indice!$B$27</c:f>
              <c:strCache>
                <c:ptCount val="1"/>
                <c:pt idx="0">
                  <c:v>ROS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indice!$C$24:$E$24</c:f>
              <c:strCache>
                <c:ptCount val="3"/>
                <c:pt idx="0">
                  <c:v>X-1</c:v>
                </c:pt>
                <c:pt idx="1">
                  <c:v>X</c:v>
                </c:pt>
                <c:pt idx="2">
                  <c:v>X+1</c:v>
                </c:pt>
              </c:strCache>
            </c:strRef>
          </c:cat>
          <c:val>
            <c:numRef>
              <c:f>indice!$C$27:$E$27</c:f>
              <c:numCache>
                <c:formatCode>0%</c:formatCode>
                <c:ptCount val="3"/>
                <c:pt idx="0">
                  <c:v>3.1876675695885467E-2</c:v>
                </c:pt>
                <c:pt idx="1">
                  <c:v>5.5440454715436453E-3</c:v>
                </c:pt>
                <c:pt idx="2">
                  <c:v>1.9683441217214024E-2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43-3A47-9241-DA9F64B16B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25031631"/>
        <c:axId val="2125344495"/>
      </c:barChart>
      <c:catAx>
        <c:axId val="2125031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25344495"/>
        <c:crosses val="autoZero"/>
        <c:auto val="1"/>
        <c:lblAlgn val="ctr"/>
        <c:lblOffset val="100"/>
        <c:noMultiLvlLbl val="0"/>
      </c:catAx>
      <c:valAx>
        <c:axId val="2125344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250316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%RITIRI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4"/>
              <c:pt idx="0">
                <c:v>gen</c:v>
              </c:pt>
              <c:pt idx="1">
                <c:v>feb</c:v>
              </c:pt>
              <c:pt idx="2">
                <c:v>mar</c:v>
              </c:pt>
              <c:pt idx="3">
                <c:v>TARGET</c:v>
              </c:pt>
            </c:strLit>
          </c:cat>
          <c:val>
            <c:numLit>
              <c:formatCode>General</c:formatCode>
              <c:ptCount val="4"/>
              <c:pt idx="0">
                <c:v>0.7</c:v>
              </c:pt>
              <c:pt idx="1">
                <c:v>0.5</c:v>
              </c:pt>
              <c:pt idx="2">
                <c:v>0.6</c:v>
              </c:pt>
              <c:pt idx="3">
                <c:v>0.06</c:v>
              </c:pt>
            </c:numLit>
          </c:val>
          <c:extLst>
            <c:ext xmlns:c16="http://schemas.microsoft.com/office/drawing/2014/chart" uri="{C3380CC4-5D6E-409C-BE32-E72D297353CC}">
              <c16:uniqueId val="{00000000-37E3-D04A-81F0-2E7CD0232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61106799"/>
        <c:axId val="1393239119"/>
      </c:barChart>
      <c:catAx>
        <c:axId val="15611067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93239119"/>
        <c:crosses val="autoZero"/>
        <c:auto val="1"/>
        <c:lblAlgn val="ctr"/>
        <c:lblOffset val="100"/>
        <c:noMultiLvlLbl val="0"/>
      </c:catAx>
      <c:valAx>
        <c:axId val="1393239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611067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% NON RICONOSCIUTA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4"/>
              <c:pt idx="0">
                <c:v>gen</c:v>
              </c:pt>
              <c:pt idx="1">
                <c:v>feb</c:v>
              </c:pt>
              <c:pt idx="2">
                <c:v>mar</c:v>
              </c:pt>
              <c:pt idx="3">
                <c:v>TARGET</c:v>
              </c:pt>
            </c:strLit>
          </c:cat>
          <c:val>
            <c:numLit>
              <c:formatCode>General</c:formatCode>
              <c:ptCount val="4"/>
              <c:pt idx="0">
                <c:v>0.7</c:v>
              </c:pt>
              <c:pt idx="1">
                <c:v>0.5</c:v>
              </c:pt>
              <c:pt idx="2">
                <c:v>0.6</c:v>
              </c:pt>
              <c:pt idx="3">
                <c:v>0.06</c:v>
              </c:pt>
            </c:numLit>
          </c:val>
          <c:extLst>
            <c:ext xmlns:c16="http://schemas.microsoft.com/office/drawing/2014/chart" uri="{C3380CC4-5D6E-409C-BE32-E72D297353CC}">
              <c16:uniqueId val="{00000000-4B83-D348-AF61-29B0EF670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1646447"/>
        <c:axId val="1561099183"/>
      </c:barChart>
      <c:catAx>
        <c:axId val="1751646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61099183"/>
        <c:crosses val="autoZero"/>
        <c:auto val="1"/>
        <c:lblAlgn val="ctr"/>
        <c:lblOffset val="100"/>
        <c:noMultiLvlLbl val="0"/>
      </c:catAx>
      <c:valAx>
        <c:axId val="1561099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51646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% PROGETTI APPROVATI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4"/>
              <c:pt idx="0">
                <c:v>gen</c:v>
              </c:pt>
              <c:pt idx="1">
                <c:v>feb</c:v>
              </c:pt>
              <c:pt idx="2">
                <c:v>mar</c:v>
              </c:pt>
              <c:pt idx="3">
                <c:v>TARGET</c:v>
              </c:pt>
            </c:strLit>
          </c:cat>
          <c:val>
            <c:numLit>
              <c:formatCode>General</c:formatCode>
              <c:ptCount val="4"/>
              <c:pt idx="0">
                <c:v>0.7</c:v>
              </c:pt>
              <c:pt idx="1">
                <c:v>0.5</c:v>
              </c:pt>
              <c:pt idx="2">
                <c:v>0.6</c:v>
              </c:pt>
              <c:pt idx="3">
                <c:v>0.06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5A3-6F48-B819-B18B8814D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74876864"/>
        <c:axId val="1474561312"/>
      </c:lineChart>
      <c:catAx>
        <c:axId val="147487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4561312"/>
        <c:crosses val="autoZero"/>
        <c:auto val="1"/>
        <c:lblAlgn val="ctr"/>
        <c:lblOffset val="100"/>
        <c:noMultiLvlLbl val="0"/>
      </c:catAx>
      <c:valAx>
        <c:axId val="147456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4876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v>% SODDISFAZIONE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4"/>
              <c:pt idx="0">
                <c:v>gen</c:v>
              </c:pt>
              <c:pt idx="1">
                <c:v>feb</c:v>
              </c:pt>
              <c:pt idx="2">
                <c:v>mar</c:v>
              </c:pt>
              <c:pt idx="3">
                <c:v>TARGET</c:v>
              </c:pt>
            </c:strLit>
          </c:cat>
          <c:val>
            <c:numLit>
              <c:formatCode>General</c:formatCode>
              <c:ptCount val="4"/>
              <c:pt idx="0">
                <c:v>0.7</c:v>
              </c:pt>
              <c:pt idx="1">
                <c:v>0.5</c:v>
              </c:pt>
              <c:pt idx="2">
                <c:v>0.6</c:v>
              </c:pt>
              <c:pt idx="3">
                <c:v>0.06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DD0-D241-BE84-42B9DF2DF6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5472271"/>
        <c:axId val="555731216"/>
      </c:lineChart>
      <c:catAx>
        <c:axId val="1445472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5731216"/>
        <c:crosses val="autoZero"/>
        <c:auto val="1"/>
        <c:lblAlgn val="ctr"/>
        <c:lblOffset val="100"/>
        <c:noMultiLvlLbl val="0"/>
      </c:catAx>
      <c:valAx>
        <c:axId val="55573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45472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% SICUREZZA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4"/>
              <c:pt idx="0">
                <c:v>gen</c:v>
              </c:pt>
              <c:pt idx="1">
                <c:v>feb</c:v>
              </c:pt>
              <c:pt idx="2">
                <c:v>mar</c:v>
              </c:pt>
              <c:pt idx="3">
                <c:v>TARGET</c:v>
              </c:pt>
            </c:strLit>
          </c:cat>
          <c:val>
            <c:numLit>
              <c:formatCode>General</c:formatCode>
              <c:ptCount val="4"/>
              <c:pt idx="0">
                <c:v>0.7</c:v>
              </c:pt>
              <c:pt idx="1">
                <c:v>0.5</c:v>
              </c:pt>
              <c:pt idx="2">
                <c:v>0.6</c:v>
              </c:pt>
            </c:numLit>
          </c:val>
          <c:extLst>
            <c:ext xmlns:c16="http://schemas.microsoft.com/office/drawing/2014/chart" uri="{C3380CC4-5D6E-409C-BE32-E72D297353CC}">
              <c16:uniqueId val="{00000000-4619-B148-A49E-793DC73F9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28684991"/>
        <c:axId val="1561085311"/>
      </c:barChart>
      <c:catAx>
        <c:axId val="152868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61085311"/>
        <c:crosses val="autoZero"/>
        <c:auto val="1"/>
        <c:lblAlgn val="ctr"/>
        <c:lblOffset val="100"/>
        <c:noMultiLvlLbl val="0"/>
      </c:catAx>
      <c:valAx>
        <c:axId val="1561085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28684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SOLIDITA'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indice!$B$31</c:f>
              <c:strCache>
                <c:ptCount val="1"/>
                <c:pt idx="0">
                  <c:v>MP/CI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indice!$C$30:$E$30</c:f>
              <c:strCache>
                <c:ptCount val="3"/>
                <c:pt idx="0">
                  <c:v>X-1</c:v>
                </c:pt>
                <c:pt idx="1">
                  <c:v>X</c:v>
                </c:pt>
                <c:pt idx="2">
                  <c:v>X+1</c:v>
                </c:pt>
              </c:strCache>
            </c:strRef>
          </c:cat>
          <c:val>
            <c:numRef>
              <c:f>indice!$C$31:$E$31</c:f>
              <c:numCache>
                <c:formatCode>0.00%</c:formatCode>
                <c:ptCount val="3"/>
                <c:pt idx="0">
                  <c:v>0.4284962536778914</c:v>
                </c:pt>
                <c:pt idx="1">
                  <c:v>0.41976246399434608</c:v>
                </c:pt>
                <c:pt idx="2">
                  <c:v>0.4242224626576151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3C-1E49-AFF9-C181B9A3A2F3}"/>
            </c:ext>
          </c:extLst>
        </c:ser>
        <c:ser>
          <c:idx val="1"/>
          <c:order val="1"/>
          <c:tx>
            <c:strRef>
              <c:f>indice!$B$32</c:f>
              <c:strCache>
                <c:ptCount val="1"/>
                <c:pt idx="0">
                  <c:v>MT/MP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indice!$C$30:$E$30</c:f>
              <c:strCache>
                <c:ptCount val="3"/>
                <c:pt idx="0">
                  <c:v>X-1</c:v>
                </c:pt>
                <c:pt idx="1">
                  <c:v>X</c:v>
                </c:pt>
                <c:pt idx="2">
                  <c:v>X+1</c:v>
                </c:pt>
              </c:strCache>
            </c:strRef>
          </c:cat>
          <c:val>
            <c:numRef>
              <c:f>indice!$C$32:$E$32</c:f>
              <c:numCache>
                <c:formatCode>_(* #,##0.00_);_(* \(#,##0.00\);_(* "-"??_);_(@_)</c:formatCode>
                <c:ptCount val="3"/>
                <c:pt idx="0">
                  <c:v>1.3337426906693999</c:v>
                </c:pt>
                <c:pt idx="1">
                  <c:v>1.3822997189512145</c:v>
                </c:pt>
                <c:pt idx="2">
                  <c:v>1.3572537713711028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3C-1E49-AFF9-C181B9A3A2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25221983"/>
        <c:axId val="2124921647"/>
      </c:barChart>
      <c:lineChart>
        <c:grouping val="standard"/>
        <c:varyColors val="0"/>
        <c:ser>
          <c:idx val="2"/>
          <c:order val="2"/>
          <c:tx>
            <c:strRef>
              <c:f>indice!$B$33</c:f>
              <c:strCache>
                <c:ptCount val="1"/>
                <c:pt idx="0">
                  <c:v>DB/DL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indice!$C$30:$E$30</c:f>
              <c:strCache>
                <c:ptCount val="3"/>
                <c:pt idx="0">
                  <c:v>X-1</c:v>
                </c:pt>
                <c:pt idx="1">
                  <c:v>X</c:v>
                </c:pt>
                <c:pt idx="2">
                  <c:v>X+1</c:v>
                </c:pt>
              </c:strCache>
            </c:strRef>
          </c:cat>
          <c:val>
            <c:numRef>
              <c:f>indice!$C$33:$E$33</c:f>
              <c:numCache>
                <c:formatCode>0.00%</c:formatCode>
                <c:ptCount val="3"/>
                <c:pt idx="0">
                  <c:v>0.56615202321120428</c:v>
                </c:pt>
                <c:pt idx="1">
                  <c:v>0.62707476141039231</c:v>
                </c:pt>
                <c:pt idx="2">
                  <c:v>0.80668031731379741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3C-1E49-AFF9-C181B9A3A2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5221983"/>
        <c:axId val="2124921647"/>
      </c:lineChart>
      <c:catAx>
        <c:axId val="2125221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24921647"/>
        <c:crosses val="autoZero"/>
        <c:auto val="1"/>
        <c:lblAlgn val="ctr"/>
        <c:lblOffset val="100"/>
        <c:noMultiLvlLbl val="0"/>
      </c:catAx>
      <c:valAx>
        <c:axId val="2124921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25221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indice!$B$38</c:f>
              <c:strCache>
                <c:ptCount val="1"/>
                <c:pt idx="0">
                  <c:v> LIQUIDITA'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indice!$C$37:$E$37</c:f>
              <c:strCache>
                <c:ptCount val="3"/>
                <c:pt idx="0">
                  <c:v>X-1</c:v>
                </c:pt>
                <c:pt idx="1">
                  <c:v>X</c:v>
                </c:pt>
                <c:pt idx="2">
                  <c:v>X+1</c:v>
                </c:pt>
              </c:strCache>
            </c:strRef>
          </c:cat>
          <c:val>
            <c:numRef>
              <c:f>indice!$C$38:$E$38</c:f>
              <c:numCache>
                <c:formatCode>_(* #,##0.00_);_(* \(#,##0.00\);_(* "-"??_);_(@_)</c:formatCode>
                <c:ptCount val="3"/>
                <c:pt idx="0">
                  <c:v>3.548661087049626E-3</c:v>
                </c:pt>
                <c:pt idx="1">
                  <c:v>4.5644543903758253E-3</c:v>
                </c:pt>
                <c:pt idx="2">
                  <c:v>1.7034568324203641E-3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DD-B243-8E39-3882CE31F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7580640"/>
        <c:axId val="121588447"/>
      </c:lineChart>
      <c:catAx>
        <c:axId val="25758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1588447"/>
        <c:crosses val="autoZero"/>
        <c:auto val="1"/>
        <c:lblAlgn val="ctr"/>
        <c:lblOffset val="100"/>
        <c:noMultiLvlLbl val="0"/>
      </c:catAx>
      <c:valAx>
        <c:axId val="121588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5758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GIORNI CLIENTI FORNITORI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indice!$B$44</c:f>
              <c:strCache>
                <c:ptCount val="1"/>
                <c:pt idx="0">
                  <c:v> GG CLIENTI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indice!$C$37:$E$37</c:f>
              <c:strCache>
                <c:ptCount val="3"/>
                <c:pt idx="0">
                  <c:v>X-1</c:v>
                </c:pt>
                <c:pt idx="1">
                  <c:v>X</c:v>
                </c:pt>
                <c:pt idx="2">
                  <c:v>X+1</c:v>
                </c:pt>
              </c:strCache>
            </c:strRef>
          </c:cat>
          <c:val>
            <c:numRef>
              <c:f>indice!$C$44:$E$44</c:f>
              <c:numCache>
                <c:formatCode>_(* #,##0.00_);_(* \(#,##0.00\);_(* "-"??_);_(@_)</c:formatCode>
                <c:ptCount val="3"/>
                <c:pt idx="0">
                  <c:v>83.394333368282673</c:v>
                </c:pt>
                <c:pt idx="1">
                  <c:v>83.801336930217076</c:v>
                </c:pt>
                <c:pt idx="2">
                  <c:v>83.233442512022393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DA-1F4E-944F-6DE210135BFF}"/>
            </c:ext>
          </c:extLst>
        </c:ser>
        <c:ser>
          <c:idx val="1"/>
          <c:order val="1"/>
          <c:tx>
            <c:strRef>
              <c:f>indice!$B$46</c:f>
              <c:strCache>
                <c:ptCount val="1"/>
                <c:pt idx="0">
                  <c:v> GG FOR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indice!$C$37:$E$37</c:f>
              <c:strCache>
                <c:ptCount val="3"/>
                <c:pt idx="0">
                  <c:v>X-1</c:v>
                </c:pt>
                <c:pt idx="1">
                  <c:v>X</c:v>
                </c:pt>
                <c:pt idx="2">
                  <c:v>X+1</c:v>
                </c:pt>
              </c:strCache>
            </c:strRef>
          </c:cat>
          <c:val>
            <c:numRef>
              <c:f>indice!$C$46:$E$46</c:f>
              <c:numCache>
                <c:formatCode>_(* #,##0.00_);_(* \(#,##0.00\);_(* "-"??_);_(@_)</c:formatCode>
                <c:ptCount val="3"/>
                <c:pt idx="0">
                  <c:v>206.77743319828386</c:v>
                </c:pt>
                <c:pt idx="1">
                  <c:v>228.86974992117621</c:v>
                </c:pt>
                <c:pt idx="2">
                  <c:v>200.18575062416437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DA-1F4E-944F-6DE210135B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25196223"/>
        <c:axId val="2125197935"/>
      </c:barChart>
      <c:catAx>
        <c:axId val="212519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25197935"/>
        <c:crosses val="autoZero"/>
        <c:auto val="1"/>
        <c:lblAlgn val="ctr"/>
        <c:lblOffset val="100"/>
        <c:noMultiLvlLbl val="0"/>
      </c:catAx>
      <c:valAx>
        <c:axId val="2125197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251962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CRESCITA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indice!$C$53</c:f>
              <c:strCache>
                <c:ptCount val="1"/>
                <c:pt idx="0">
                  <c:v>X-1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indice!$B$54:$B$57</c:f>
              <c:strCache>
                <c:ptCount val="4"/>
                <c:pt idx="0">
                  <c:v>D ATTIVITA'</c:v>
                </c:pt>
                <c:pt idx="1">
                  <c:v>D FATTURATO</c:v>
                </c:pt>
                <c:pt idx="2">
                  <c:v>D MP</c:v>
                </c:pt>
                <c:pt idx="3">
                  <c:v>D CAP</c:v>
                </c:pt>
              </c:strCache>
            </c:strRef>
          </c:cat>
          <c:val>
            <c:numRef>
              <c:f>indice!$C$54:$C$57</c:f>
              <c:numCache>
                <c:formatCode>0.0%</c:formatCode>
                <c:ptCount val="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BF-2848-99E9-E4EAE2E41189}"/>
            </c:ext>
          </c:extLst>
        </c:ser>
        <c:ser>
          <c:idx val="1"/>
          <c:order val="1"/>
          <c:tx>
            <c:strRef>
              <c:f>indice!$D$53</c:f>
              <c:strCache>
                <c:ptCount val="1"/>
                <c:pt idx="0">
                  <c:v>X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indice!$B$54:$B$57</c:f>
              <c:strCache>
                <c:ptCount val="4"/>
                <c:pt idx="0">
                  <c:v>D ATTIVITA'</c:v>
                </c:pt>
                <c:pt idx="1">
                  <c:v>D FATTURATO</c:v>
                </c:pt>
                <c:pt idx="2">
                  <c:v>D MP</c:v>
                </c:pt>
                <c:pt idx="3">
                  <c:v>D CAP</c:v>
                </c:pt>
              </c:strCache>
            </c:strRef>
          </c:cat>
          <c:val>
            <c:numRef>
              <c:f>indice!$D$54:$D$57</c:f>
              <c:numCache>
                <c:formatCode>0.0%</c:formatCode>
                <c:ptCount val="4"/>
                <c:pt idx="0">
                  <c:v>-7.9582196657769222E-2</c:v>
                </c:pt>
                <c:pt idx="1">
                  <c:v>0.89116449163930178</c:v>
                </c:pt>
                <c:pt idx="2">
                  <c:v>-0.49548945441019054</c:v>
                </c:pt>
                <c:pt idx="3">
                  <c:v>-0.13869994352248516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BF-2848-99E9-E4EAE2E41189}"/>
            </c:ext>
          </c:extLst>
        </c:ser>
        <c:ser>
          <c:idx val="2"/>
          <c:order val="2"/>
          <c:tx>
            <c:strRef>
              <c:f>indice!$E$53</c:f>
              <c:strCache>
                <c:ptCount val="1"/>
                <c:pt idx="0">
                  <c:v>X+1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indice!$B$54:$B$57</c:f>
              <c:strCache>
                <c:ptCount val="4"/>
                <c:pt idx="0">
                  <c:v>D ATTIVITA'</c:v>
                </c:pt>
                <c:pt idx="1">
                  <c:v>D FATTURATO</c:v>
                </c:pt>
                <c:pt idx="2">
                  <c:v>D MP</c:v>
                </c:pt>
                <c:pt idx="3">
                  <c:v>D CAP</c:v>
                </c:pt>
              </c:strCache>
            </c:strRef>
          </c:cat>
          <c:val>
            <c:numRef>
              <c:f>indice!$E$54:$E$57</c:f>
              <c:numCache>
                <c:formatCode>0.0%</c:formatCode>
                <c:ptCount val="4"/>
                <c:pt idx="0">
                  <c:v>-1.5700837136998436E-2</c:v>
                </c:pt>
                <c:pt idx="1">
                  <c:v>0.2723936185581366</c:v>
                </c:pt>
                <c:pt idx="2">
                  <c:v>0.35128179434050266</c:v>
                </c:pt>
                <c:pt idx="3">
                  <c:v>-6.0632725884449123E-2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BF-2848-99E9-E4EAE2E41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4427647"/>
        <c:axId val="1718265999"/>
      </c:lineChart>
      <c:catAx>
        <c:axId val="1984427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18265999"/>
        <c:crosses val="autoZero"/>
        <c:auto val="1"/>
        <c:lblAlgn val="ctr"/>
        <c:lblOffset val="100"/>
        <c:noMultiLvlLbl val="0"/>
      </c:catAx>
      <c:valAx>
        <c:axId val="1718265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84427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pareto!$B$15:$B$47</c:f>
              <c:strCache>
                <c:ptCount val="33"/>
                <c:pt idx="0">
                  <c:v> Materie prime, sussidiarie e merci </c:v>
                </c:pt>
                <c:pt idx="1">
                  <c:v> costo del lavoro </c:v>
                </c:pt>
                <c:pt idx="2">
                  <c:v> ammortamenti e svalutazioni </c:v>
                </c:pt>
                <c:pt idx="3">
                  <c:v> Provvigioni a intermediari </c:v>
                </c:pt>
                <c:pt idx="4">
                  <c:v> Trasporti per consegna merci  </c:v>
                </c:pt>
                <c:pt idx="5">
                  <c:v> Energia elettrica </c:v>
                </c:pt>
                <c:pt idx="6">
                  <c:v> Servizi commerciali </c:v>
                </c:pt>
                <c:pt idx="7">
                  <c:v> Manutenzione macchinari e impianti </c:v>
                </c:pt>
                <c:pt idx="8">
                  <c:v> Mostre e fiere </c:v>
                </c:pt>
                <c:pt idx="9">
                  <c:v> Oneri diversi di gestione </c:v>
                </c:pt>
                <c:pt idx="10">
                  <c:v> Altre spese di produzione e spese varie </c:v>
                </c:pt>
                <c:pt idx="11">
                  <c:v> Servizio agenzie lavoro interinale </c:v>
                </c:pt>
                <c:pt idx="12">
                  <c:v> Consulenze amministrative </c:v>
                </c:pt>
                <c:pt idx="13">
                  <c:v> Consulenze tecniche, spese di analisi e prove di laboratorio </c:v>
                </c:pt>
                <c:pt idx="14">
                  <c:v> Pubblicità </c:v>
                </c:pt>
                <c:pt idx="15">
                  <c:v> Compensi ai sindaci </c:v>
                </c:pt>
                <c:pt idx="16">
                  <c:v> Godimento di beni di terzi </c:v>
                </c:pt>
                <c:pt idx="17">
                  <c:v> Pulizia esterna </c:v>
                </c:pt>
                <c:pt idx="18">
                  <c:v> Variazione rimanenze materie prime </c:v>
                </c:pt>
                <c:pt idx="19">
                  <c:v> Assicurazioni diverse                                      </c:v>
                </c:pt>
                <c:pt idx="20">
                  <c:v> Gas e riscaldamento </c:v>
                </c:pt>
                <c:pt idx="21">
                  <c:v> Spese telefoniche e postali </c:v>
                </c:pt>
                <c:pt idx="22">
                  <c:v> Spese di rappresentanza e promozionali </c:v>
                </c:pt>
                <c:pt idx="23">
                  <c:v> Rimborsi chilometrici </c:v>
                </c:pt>
                <c:pt idx="24">
                  <c:v> Associazioni e pubblicazioni </c:v>
                </c:pt>
                <c:pt idx="25">
                  <c:v> Canoni di manutenzione macchine d’ufficio </c:v>
                </c:pt>
                <c:pt idx="26">
                  <c:v> Assicurazione automezzi                                                </c:v>
                </c:pt>
                <c:pt idx="27">
                  <c:v> Indennità agenti scioglimento rapporto </c:v>
                </c:pt>
                <c:pt idx="28">
                  <c:v> Altri costi </c:v>
                </c:pt>
                <c:pt idx="29">
                  <c:v> Ricerca, addestramento e formazione </c:v>
                </c:pt>
                <c:pt idx="30">
                  <c:v>Variazioni prodotti in lavorazione</c:v>
                </c:pt>
                <c:pt idx="31">
                  <c:v> Viaggi </c:v>
                </c:pt>
                <c:pt idx="32">
                  <c:v> Consulenze commerciali </c:v>
                </c:pt>
              </c:strCache>
            </c:strRef>
          </c:cat>
          <c:val>
            <c:numRef>
              <c:f>pareto!$C$15:$C$47</c:f>
              <c:numCache>
                <c:formatCode>_-* #,##0_-;\-* #,##0_-;_-* "-"??_-;_-@_-</c:formatCode>
                <c:ptCount val="33"/>
                <c:pt idx="0">
                  <c:v>3579780</c:v>
                </c:pt>
                <c:pt idx="1">
                  <c:v>839729</c:v>
                </c:pt>
                <c:pt idx="2">
                  <c:v>312589</c:v>
                </c:pt>
                <c:pt idx="3">
                  <c:v>253624</c:v>
                </c:pt>
                <c:pt idx="4">
                  <c:v>135582</c:v>
                </c:pt>
                <c:pt idx="5">
                  <c:v>133696</c:v>
                </c:pt>
                <c:pt idx="6">
                  <c:v>123618</c:v>
                </c:pt>
                <c:pt idx="7">
                  <c:v>98642</c:v>
                </c:pt>
                <c:pt idx="8">
                  <c:v>47156</c:v>
                </c:pt>
                <c:pt idx="9">
                  <c:v>44147</c:v>
                </c:pt>
                <c:pt idx="10">
                  <c:v>29920</c:v>
                </c:pt>
                <c:pt idx="11">
                  <c:v>29327</c:v>
                </c:pt>
                <c:pt idx="12">
                  <c:v>28182</c:v>
                </c:pt>
                <c:pt idx="13">
                  <c:v>27708</c:v>
                </c:pt>
                <c:pt idx="14">
                  <c:v>25542</c:v>
                </c:pt>
                <c:pt idx="15">
                  <c:v>23504</c:v>
                </c:pt>
                <c:pt idx="16">
                  <c:v>17396</c:v>
                </c:pt>
                <c:pt idx="17">
                  <c:v>17349</c:v>
                </c:pt>
                <c:pt idx="18">
                  <c:v>16402</c:v>
                </c:pt>
                <c:pt idx="19">
                  <c:v>15714</c:v>
                </c:pt>
                <c:pt idx="20">
                  <c:v>12923</c:v>
                </c:pt>
                <c:pt idx="21">
                  <c:v>11596</c:v>
                </c:pt>
                <c:pt idx="22">
                  <c:v>10812</c:v>
                </c:pt>
                <c:pt idx="23">
                  <c:v>9776</c:v>
                </c:pt>
                <c:pt idx="24">
                  <c:v>5579</c:v>
                </c:pt>
                <c:pt idx="25">
                  <c:v>2977</c:v>
                </c:pt>
                <c:pt idx="26">
                  <c:v>2432</c:v>
                </c:pt>
                <c:pt idx="27">
                  <c:v>2408</c:v>
                </c:pt>
                <c:pt idx="28">
                  <c:v>2148</c:v>
                </c:pt>
                <c:pt idx="29">
                  <c:v>1515</c:v>
                </c:pt>
                <c:pt idx="30">
                  <c:v>-32001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26-5442-9FBB-C95E35835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2837520"/>
        <c:axId val="1132839792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pareto!$B$15:$B$47</c:f>
              <c:strCache>
                <c:ptCount val="33"/>
                <c:pt idx="0">
                  <c:v> Materie prime, sussidiarie e merci </c:v>
                </c:pt>
                <c:pt idx="1">
                  <c:v> costo del lavoro </c:v>
                </c:pt>
                <c:pt idx="2">
                  <c:v> ammortamenti e svalutazioni </c:v>
                </c:pt>
                <c:pt idx="3">
                  <c:v> Provvigioni a intermediari </c:v>
                </c:pt>
                <c:pt idx="4">
                  <c:v> Trasporti per consegna merci  </c:v>
                </c:pt>
                <c:pt idx="5">
                  <c:v> Energia elettrica </c:v>
                </c:pt>
                <c:pt idx="6">
                  <c:v> Servizi commerciali </c:v>
                </c:pt>
                <c:pt idx="7">
                  <c:v> Manutenzione macchinari e impianti </c:v>
                </c:pt>
                <c:pt idx="8">
                  <c:v> Mostre e fiere </c:v>
                </c:pt>
                <c:pt idx="9">
                  <c:v> Oneri diversi di gestione </c:v>
                </c:pt>
                <c:pt idx="10">
                  <c:v> Altre spese di produzione e spese varie </c:v>
                </c:pt>
                <c:pt idx="11">
                  <c:v> Servizio agenzie lavoro interinale </c:v>
                </c:pt>
                <c:pt idx="12">
                  <c:v> Consulenze amministrative </c:v>
                </c:pt>
                <c:pt idx="13">
                  <c:v> Consulenze tecniche, spese di analisi e prove di laboratorio </c:v>
                </c:pt>
                <c:pt idx="14">
                  <c:v> Pubblicità </c:v>
                </c:pt>
                <c:pt idx="15">
                  <c:v> Compensi ai sindaci </c:v>
                </c:pt>
                <c:pt idx="16">
                  <c:v> Godimento di beni di terzi </c:v>
                </c:pt>
                <c:pt idx="17">
                  <c:v> Pulizia esterna </c:v>
                </c:pt>
                <c:pt idx="18">
                  <c:v> Variazione rimanenze materie prime </c:v>
                </c:pt>
                <c:pt idx="19">
                  <c:v> Assicurazioni diverse                                      </c:v>
                </c:pt>
                <c:pt idx="20">
                  <c:v> Gas e riscaldamento </c:v>
                </c:pt>
                <c:pt idx="21">
                  <c:v> Spese telefoniche e postali </c:v>
                </c:pt>
                <c:pt idx="22">
                  <c:v> Spese di rappresentanza e promozionali </c:v>
                </c:pt>
                <c:pt idx="23">
                  <c:v> Rimborsi chilometrici </c:v>
                </c:pt>
                <c:pt idx="24">
                  <c:v> Associazioni e pubblicazioni </c:v>
                </c:pt>
                <c:pt idx="25">
                  <c:v> Canoni di manutenzione macchine d’ufficio </c:v>
                </c:pt>
                <c:pt idx="26">
                  <c:v> Assicurazione automezzi                                                </c:v>
                </c:pt>
                <c:pt idx="27">
                  <c:v> Indennità agenti scioglimento rapporto </c:v>
                </c:pt>
                <c:pt idx="28">
                  <c:v> Altri costi </c:v>
                </c:pt>
                <c:pt idx="29">
                  <c:v> Ricerca, addestramento e formazione </c:v>
                </c:pt>
                <c:pt idx="30">
                  <c:v>Variazioni prodotti in lavorazione</c:v>
                </c:pt>
                <c:pt idx="31">
                  <c:v> Viaggi </c:v>
                </c:pt>
                <c:pt idx="32">
                  <c:v> Consulenze commerciali </c:v>
                </c:pt>
              </c:strCache>
            </c:strRef>
          </c:cat>
          <c:val>
            <c:numRef>
              <c:f>pareto!$F$15:$F$47</c:f>
              <c:numCache>
                <c:formatCode>0%</c:formatCode>
                <c:ptCount val="33"/>
                <c:pt idx="0">
                  <c:v>0.61405145861622035</c:v>
                </c:pt>
                <c:pt idx="1">
                  <c:v>0.75809294085600609</c:v>
                </c:pt>
                <c:pt idx="2">
                  <c:v>0.81171236199288765</c:v>
                </c:pt>
                <c:pt idx="3">
                  <c:v>0.8552173223927112</c:v>
                </c:pt>
                <c:pt idx="4">
                  <c:v>0.87847414958938375</c:v>
                </c:pt>
                <c:pt idx="5">
                  <c:v>0.90140746499176994</c:v>
                </c:pt>
                <c:pt idx="6">
                  <c:v>0.92261206784759342</c:v>
                </c:pt>
                <c:pt idx="7">
                  <c:v>0.93953245512860539</c:v>
                </c:pt>
                <c:pt idx="8">
                  <c:v>0.94762127918553252</c:v>
                </c:pt>
                <c:pt idx="9">
                  <c:v>0.95519395955793818</c:v>
                </c:pt>
                <c:pt idx="10">
                  <c:v>0.96032623574301024</c:v>
                </c:pt>
                <c:pt idx="11">
                  <c:v>0.96535679268417363</c:v>
                </c:pt>
                <c:pt idx="12">
                  <c:v>0.97019094400261285</c:v>
                </c:pt>
                <c:pt idx="13">
                  <c:v>0.97494378853924313</c:v>
                </c:pt>
                <c:pt idx="14">
                  <c:v>0.97932509195899953</c:v>
                </c:pt>
                <c:pt idx="15">
                  <c:v>0.98335681052363633</c:v>
                </c:pt>
                <c:pt idx="16">
                  <c:v>0.98634080372268429</c:v>
                </c:pt>
                <c:pt idx="17">
                  <c:v>0.98931673485686933</c:v>
                </c:pt>
                <c:pt idx="18">
                  <c:v>0.99213022396073136</c:v>
                </c:pt>
                <c:pt idx="19">
                  <c:v>0.99482569815766397</c:v>
                </c:pt>
                <c:pt idx="20">
                  <c:v>0.99704242292837542</c:v>
                </c:pt>
                <c:pt idx="21">
                  <c:v>0.99903152301668074</c:v>
                </c:pt>
                <c:pt idx="22">
                  <c:v>1.0008861410017409</c:v>
                </c:pt>
                <c:pt idx="23">
                  <c:v>1.002563050493227</c:v>
                </c:pt>
                <c:pt idx="24">
                  <c:v>1.0035200347457844</c:v>
                </c:pt>
                <c:pt idx="25">
                  <c:v>1.0040306893648674</c:v>
                </c:pt>
                <c:pt idx="26">
                  <c:v>1.0044478583381995</c:v>
                </c:pt>
                <c:pt idx="27">
                  <c:v>1.0048609105124526</c:v>
                </c:pt>
                <c:pt idx="28">
                  <c:v>1.0052293640300174</c:v>
                </c:pt>
                <c:pt idx="29">
                  <c:v>1.0054892369718751</c:v>
                </c:pt>
                <c:pt idx="30">
                  <c:v>1.0000000000000004</c:v>
                </c:pt>
                <c:pt idx="31">
                  <c:v>1.0000000000000004</c:v>
                </c:pt>
                <c:pt idx="32">
                  <c:v>1.0000000000000004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26-5442-9FBB-C95E35835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3322992"/>
        <c:axId val="1943321248"/>
      </c:lineChart>
      <c:catAx>
        <c:axId val="113283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32839792"/>
        <c:crosses val="autoZero"/>
        <c:auto val="1"/>
        <c:lblAlgn val="ctr"/>
        <c:lblOffset val="100"/>
        <c:noMultiLvlLbl val="0"/>
      </c:catAx>
      <c:valAx>
        <c:axId val="1132839792"/>
        <c:scaling>
          <c:orientation val="minMax"/>
          <c:max val="45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32837520"/>
        <c:crosses val="autoZero"/>
        <c:crossBetween val="between"/>
      </c:valAx>
      <c:valAx>
        <c:axId val="1943321248"/>
        <c:scaling>
          <c:orientation val="minMax"/>
          <c:max val="1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43322992"/>
        <c:crosses val="max"/>
        <c:crossBetween val="between"/>
      </c:valAx>
      <c:catAx>
        <c:axId val="19433229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9433212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21020691163604552"/>
          <c:y val="6.988355798745495E-2"/>
          <c:w val="0.76387029746281709"/>
          <c:h val="0.69930034699052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indici!$E$23</c:f>
              <c:strCache>
                <c:ptCount val="1"/>
                <c:pt idx="0">
                  <c:v>X-1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indici!$D$24:$D$56</c:f>
              <c:strCache>
                <c:ptCount val="33"/>
                <c:pt idx="0">
                  <c:v>ROI</c:v>
                </c:pt>
                <c:pt idx="1">
                  <c:v>ROE</c:v>
                </c:pt>
                <c:pt idx="2">
                  <c:v>ROS</c:v>
                </c:pt>
                <c:pt idx="3">
                  <c:v>ROD</c:v>
                </c:pt>
                <c:pt idx="4">
                  <c:v>LIQUIDITA'</c:v>
                </c:pt>
                <c:pt idx="5">
                  <c:v>QUICK RATIO</c:v>
                </c:pt>
                <c:pt idx="6">
                  <c:v>ROT MAG</c:v>
                </c:pt>
                <c:pt idx="7">
                  <c:v>GG MAGAZZINO</c:v>
                </c:pt>
                <c:pt idx="8">
                  <c:v>ROT ATT CORR</c:v>
                </c:pt>
                <c:pt idx="9">
                  <c:v>ROT CI</c:v>
                </c:pt>
                <c:pt idx="10">
                  <c:v>ROT CLIENTI</c:v>
                </c:pt>
                <c:pt idx="11">
                  <c:v>GG CLIENTI</c:v>
                </c:pt>
                <c:pt idx="12">
                  <c:v>ROT FOR</c:v>
                </c:pt>
                <c:pt idx="13">
                  <c:v>GG FOR</c:v>
                </c:pt>
                <c:pt idx="14">
                  <c:v>GG CL+GG MAG-GGFOR</c:v>
                </c:pt>
                <c:pt idx="15">
                  <c:v>CASH REDDITUALE</c:v>
                </c:pt>
                <c:pt idx="16">
                  <c:v>R/N PER</c:v>
                </c:pt>
                <c:pt idx="17">
                  <c:v>R/COSTO PER</c:v>
                </c:pt>
                <c:pt idx="18">
                  <c:v>VA/PER</c:v>
                </c:pt>
                <c:pt idx="19">
                  <c:v>RO/PER</c:v>
                </c:pt>
                <c:pt idx="20">
                  <c:v>MP/CI</c:v>
                </c:pt>
                <c:pt idx="21">
                  <c:v>MT/MP</c:v>
                </c:pt>
                <c:pt idx="22">
                  <c:v>DB/DL</c:v>
                </c:pt>
                <c:pt idx="23">
                  <c:v>D ATTIVITA'</c:v>
                </c:pt>
                <c:pt idx="24">
                  <c:v>D FATTURATO</c:v>
                </c:pt>
                <c:pt idx="25">
                  <c:v>D MP</c:v>
                </c:pt>
                <c:pt idx="26">
                  <c:v>D CAP</c:v>
                </c:pt>
                <c:pt idx="27">
                  <c:v>CI</c:v>
                </c:pt>
                <c:pt idx="28">
                  <c:v>MT</c:v>
                </c:pt>
                <c:pt idx="29">
                  <c:v>MP</c:v>
                </c:pt>
                <c:pt idx="30">
                  <c:v>OF/RO</c:v>
                </c:pt>
                <c:pt idx="31">
                  <c:v>PFN</c:v>
                </c:pt>
                <c:pt idx="32">
                  <c:v>PFN/MOL</c:v>
                </c:pt>
              </c:strCache>
            </c:strRef>
          </c:cat>
          <c:val>
            <c:numRef>
              <c:f>indici!$E$24:$E$56</c:f>
              <c:numCache>
                <c:formatCode>0.0%</c:formatCode>
                <c:ptCount val="33"/>
                <c:pt idx="0">
                  <c:v>2.7521329573388636E-2</c:v>
                </c:pt>
                <c:pt idx="1">
                  <c:v>3.6648315231459075E-2</c:v>
                </c:pt>
                <c:pt idx="2">
                  <c:v>3.1876675695885467E-2</c:v>
                </c:pt>
                <c:pt idx="3">
                  <c:v>-3.60203184696746E-2</c:v>
                </c:pt>
                <c:pt idx="4" formatCode="0.00%">
                  <c:v>3.548661087049626E-3</c:v>
                </c:pt>
                <c:pt idx="5" formatCode="_(* #,##0.00_);_(* \(#,##0.00\);_(* &quot;-&quot;??_);_(@_)">
                  <c:v>0.92925950765305865</c:v>
                </c:pt>
                <c:pt idx="6" formatCode="_(* #,##0.00_);_(* \(#,##0.00\);_(* &quot;-&quot;??_);_(@_)">
                  <c:v>1.7536643994075807</c:v>
                </c:pt>
                <c:pt idx="7" formatCode="_(* #,##0.00_);_(* \(#,##0.00\);_(* &quot;-&quot;??_);_(@_)">
                  <c:v>205.28443191389098</c:v>
                </c:pt>
                <c:pt idx="8" formatCode="_(* #,##0.00_);_(* \(#,##0.00\);_(* &quot;-&quot;??_);_(@_)">
                  <c:v>1.1511098319867159</c:v>
                </c:pt>
                <c:pt idx="9" formatCode="_(* #,##0.00_);_(* \(#,##0.00\);_(* &quot;-&quot;??_);_(@_)">
                  <c:v>0.86336887308926635</c:v>
                </c:pt>
                <c:pt idx="10" formatCode="_(* #,##0.00_);_(* \(#,##0.00\);_(* &quot;-&quot;??_);_(@_)">
                  <c:v>4.3168400712573911</c:v>
                </c:pt>
                <c:pt idx="11" formatCode="_(* #,##0.00_);_(* \(#,##0.00\);_(* &quot;-&quot;??_);_(@_)">
                  <c:v>83.394333368282673</c:v>
                </c:pt>
                <c:pt idx="12" formatCode="_(* #,##0.00_);_(* \(#,##0.00\);_(* &quot;-&quot;??_);_(@_)">
                  <c:v>1.741002363902967</c:v>
                </c:pt>
                <c:pt idx="13" formatCode="_(* #,##0.00_);_(* \(#,##0.00\);_(* &quot;-&quot;??_);_(@_)">
                  <c:v>206.77743319828386</c:v>
                </c:pt>
                <c:pt idx="14" formatCode="_(* #,##0.00_);_(* \(#,##0.00\);_(* &quot;-&quot;??_);_(@_)">
                  <c:v>81.901332083889798</c:v>
                </c:pt>
                <c:pt idx="15" formatCode="_(* #,##0.00_);_(* \(#,##0.00\);_(* &quot;-&quot;??_);_(@_)">
                  <c:v>502135</c:v>
                </c:pt>
                <c:pt idx="16" formatCode="_(* #,##0.00_);_(* \(#,##0.00\);_(* &quot;-&quot;??_);_(@_)">
                  <c:v>371967</c:v>
                </c:pt>
                <c:pt idx="17" formatCode="_(* #,##0.00_);_(* \(#,##0.00\);_(* &quot;-&quot;??_);_(@_)">
                  <c:v>6.5903520228404808</c:v>
                </c:pt>
                <c:pt idx="18" formatCode="_(* #,##0.00_);_(* \(#,##0.00\);_(* &quot;-&quot;??_);_(@_)">
                  <c:v>90994.21428571429</c:v>
                </c:pt>
                <c:pt idx="19" formatCode="_(* #,##0.00_);_(* \(#,##0.00\);_(* &quot;-&quot;??_);_(@_)">
                  <c:v>11857.071428571429</c:v>
                </c:pt>
                <c:pt idx="20">
                  <c:v>0.4284962536778914</c:v>
                </c:pt>
                <c:pt idx="21" formatCode="_(* #,##0.00_);_(* \(#,##0.00\);_(* &quot;-&quot;??_);_(@_)">
                  <c:v>1.3337426906693999</c:v>
                </c:pt>
                <c:pt idx="22" formatCode="0%">
                  <c:v>0.56615202321120428</c:v>
                </c:pt>
                <c:pt idx="27" formatCode="_(* #,##0.00_);_(* \(#,##0.00\);_(* &quot;-&quot;??_);_(@_)">
                  <c:v>6031649</c:v>
                </c:pt>
                <c:pt idx="28" formatCode="_(* #,##0.00_);_(* \(#,##0.00\);_(* &quot;-&quot;??_);_(@_)">
                  <c:v>3447110</c:v>
                </c:pt>
                <c:pt idx="29" formatCode="_(* #,##0.00_);_(* \(#,##0.00\);_(* &quot;-&quot;??_);_(@_)">
                  <c:v>2584539</c:v>
                </c:pt>
                <c:pt idx="30" formatCode="0.00%">
                  <c:v>-0.7479924577858903</c:v>
                </c:pt>
                <c:pt idx="31" formatCode="_(* #,##0.00_);_(* \(#,##0.00\);_(* &quot;-&quot;??_);_(@_)">
                  <c:v>-3429834</c:v>
                </c:pt>
                <c:pt idx="32" formatCode="_(* #,##0.00_);_(* \(#,##0.00\);_(* &quot;-&quot;??_);_(@_)">
                  <c:v>-7.0901987212218058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30-8A48-BAB5-896D0DEB19AC}"/>
            </c:ext>
          </c:extLst>
        </c:ser>
        <c:ser>
          <c:idx val="1"/>
          <c:order val="1"/>
          <c:tx>
            <c:strRef>
              <c:f>indici!$F$23</c:f>
              <c:strCache>
                <c:ptCount val="1"/>
                <c:pt idx="0">
                  <c:v>X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indici!$D$24:$D$56</c:f>
              <c:strCache>
                <c:ptCount val="33"/>
                <c:pt idx="0">
                  <c:v>ROI</c:v>
                </c:pt>
                <c:pt idx="1">
                  <c:v>ROE</c:v>
                </c:pt>
                <c:pt idx="2">
                  <c:v>ROS</c:v>
                </c:pt>
                <c:pt idx="3">
                  <c:v>ROD</c:v>
                </c:pt>
                <c:pt idx="4">
                  <c:v>LIQUIDITA'</c:v>
                </c:pt>
                <c:pt idx="5">
                  <c:v>QUICK RATIO</c:v>
                </c:pt>
                <c:pt idx="6">
                  <c:v>ROT MAG</c:v>
                </c:pt>
                <c:pt idx="7">
                  <c:v>GG MAGAZZINO</c:v>
                </c:pt>
                <c:pt idx="8">
                  <c:v>ROT ATT CORR</c:v>
                </c:pt>
                <c:pt idx="9">
                  <c:v>ROT CI</c:v>
                </c:pt>
                <c:pt idx="10">
                  <c:v>ROT CLIENTI</c:v>
                </c:pt>
                <c:pt idx="11">
                  <c:v>GG CLIENTI</c:v>
                </c:pt>
                <c:pt idx="12">
                  <c:v>ROT FOR</c:v>
                </c:pt>
                <c:pt idx="13">
                  <c:v>GG FOR</c:v>
                </c:pt>
                <c:pt idx="14">
                  <c:v>GG CL+GG MAG-GGFOR</c:v>
                </c:pt>
                <c:pt idx="15">
                  <c:v>CASH REDDITUALE</c:v>
                </c:pt>
                <c:pt idx="16">
                  <c:v>R/N PER</c:v>
                </c:pt>
                <c:pt idx="17">
                  <c:v>R/COSTO PER</c:v>
                </c:pt>
                <c:pt idx="18">
                  <c:v>VA/PER</c:v>
                </c:pt>
                <c:pt idx="19">
                  <c:v>RO/PER</c:v>
                </c:pt>
                <c:pt idx="20">
                  <c:v>MP/CI</c:v>
                </c:pt>
                <c:pt idx="21">
                  <c:v>MT/MP</c:v>
                </c:pt>
                <c:pt idx="22">
                  <c:v>DB/DL</c:v>
                </c:pt>
                <c:pt idx="23">
                  <c:v>D ATTIVITA'</c:v>
                </c:pt>
                <c:pt idx="24">
                  <c:v>D FATTURATO</c:v>
                </c:pt>
                <c:pt idx="25">
                  <c:v>D MP</c:v>
                </c:pt>
                <c:pt idx="26">
                  <c:v>D CAP</c:v>
                </c:pt>
                <c:pt idx="27">
                  <c:v>CI</c:v>
                </c:pt>
                <c:pt idx="28">
                  <c:v>MT</c:v>
                </c:pt>
                <c:pt idx="29">
                  <c:v>MP</c:v>
                </c:pt>
                <c:pt idx="30">
                  <c:v>OF/RO</c:v>
                </c:pt>
                <c:pt idx="31">
                  <c:v>PFN</c:v>
                </c:pt>
                <c:pt idx="32">
                  <c:v>PFN/MOL</c:v>
                </c:pt>
              </c:strCache>
            </c:strRef>
          </c:cat>
          <c:val>
            <c:numRef>
              <c:f>indici!$F$24:$F$56</c:f>
              <c:numCache>
                <c:formatCode>0.0%</c:formatCode>
                <c:ptCount val="33"/>
                <c:pt idx="0">
                  <c:v>4.9912711110246593E-3</c:v>
                </c:pt>
                <c:pt idx="1">
                  <c:v>1.9493463433923415E-3</c:v>
                </c:pt>
                <c:pt idx="2">
                  <c:v>5.5440454715436453E-3</c:v>
                </c:pt>
                <c:pt idx="3">
                  <c:v>-3.9133597647100893E-2</c:v>
                </c:pt>
                <c:pt idx="4" formatCode="0.00%">
                  <c:v>4.5644543903758253E-3</c:v>
                </c:pt>
                <c:pt idx="5" formatCode="_(* #,##0.00_);_(* \(#,##0.00\);_(* &quot;-&quot;??_);_(@_)">
                  <c:v>0.94427832807308476</c:v>
                </c:pt>
                <c:pt idx="6" formatCode="_(* #,##0.00_);_(* \(#,##0.00\);_(* &quot;-&quot;??_);_(@_)">
                  <c:v>1.6915771802473438</c:v>
                </c:pt>
                <c:pt idx="7" formatCode="_(* #,##0.00_);_(* \(#,##0.00\);_(* &quot;-&quot;??_);_(@_)">
                  <c:v>212.81913956025377</c:v>
                </c:pt>
                <c:pt idx="8" formatCode="_(* #,##0.00_);_(* \(#,##0.00\);_(* &quot;-&quot;??_);_(@_)">
                  <c:v>1.0925067021940158</c:v>
                </c:pt>
                <c:pt idx="9" formatCode="_(* #,##0.00_);_(* \(#,##0.00\);_(* &quot;-&quot;??_);_(@_)">
                  <c:v>0.9002940427966809</c:v>
                </c:pt>
                <c:pt idx="10" formatCode="_(* #,##0.00_);_(* \(#,##0.00\);_(* &quot;-&quot;??_);_(@_)">
                  <c:v>4.295874185155049</c:v>
                </c:pt>
                <c:pt idx="11" formatCode="_(* #,##0.00_);_(* \(#,##0.00\);_(* &quot;-&quot;??_);_(@_)">
                  <c:v>83.801336930217076</c:v>
                </c:pt>
                <c:pt idx="12" formatCode="_(* #,##0.00_);_(* \(#,##0.00\);_(* &quot;-&quot;??_);_(@_)">
                  <c:v>1.57294705885765</c:v>
                </c:pt>
                <c:pt idx="13" formatCode="_(* #,##0.00_);_(* \(#,##0.00\);_(* &quot;-&quot;??_);_(@_)">
                  <c:v>228.86974992117621</c:v>
                </c:pt>
                <c:pt idx="14" formatCode="_(* #,##0.00_);_(* \(#,##0.00\);_(* &quot;-&quot;??_);_(@_)">
                  <c:v>67.750726569294642</c:v>
                </c:pt>
                <c:pt idx="15" formatCode="_(* #,##0.00_);_(* \(#,##0.00\);_(* &quot;-&quot;??_);_(@_)">
                  <c:v>467987</c:v>
                </c:pt>
                <c:pt idx="16" formatCode="_(* #,##0.00_);_(* \(#,##0.00\);_(* &quot;-&quot;??_);_(@_)">
                  <c:v>396719.07142857142</c:v>
                </c:pt>
                <c:pt idx="17" formatCode="_(* #,##0.00_);_(* \(#,##0.00\);_(* &quot;-&quot;??_);_(@_)">
                  <c:v>6.8584392731673285</c:v>
                </c:pt>
                <c:pt idx="18" formatCode="_(* #,##0.00_);_(* \(#,##0.00\);_(* &quot;-&quot;??_);_(@_)">
                  <c:v>86805.357142857145</c:v>
                </c:pt>
                <c:pt idx="19" formatCode="_(* #,##0.00_);_(* \(#,##0.00\);_(* &quot;-&quot;??_);_(@_)">
                  <c:v>2199.4285714285716</c:v>
                </c:pt>
                <c:pt idx="20">
                  <c:v>0.41976246399434608</c:v>
                </c:pt>
                <c:pt idx="21" formatCode="_(* #,##0.00_);_(* \(#,##0.00\);_(* &quot;-&quot;??_);_(@_)">
                  <c:v>1.3822997189512145</c:v>
                </c:pt>
                <c:pt idx="22" formatCode="0%">
                  <c:v>0.62707476141039231</c:v>
                </c:pt>
                <c:pt idx="23">
                  <c:v>5.4721062033787904E-2</c:v>
                </c:pt>
                <c:pt idx="24" formatCode="0.00%">
                  <c:v>6.6543729493668602E-2</c:v>
                </c:pt>
                <c:pt idx="25" formatCode="0.00%">
                  <c:v>1.9527660445441963E-3</c:v>
                </c:pt>
                <c:pt idx="26" formatCode="0.00%">
                  <c:v>2.2799900988933475E-2</c:v>
                </c:pt>
                <c:pt idx="27" formatCode="_(* #,##0.00_);_(* \(#,##0.00\);_(* &quot;-&quot;??_);_(@_)">
                  <c:v>6169170</c:v>
                </c:pt>
                <c:pt idx="28" formatCode="_(* #,##0.00_);_(* \(#,##0.00\);_(* &quot;-&quot;??_);_(@_)">
                  <c:v>3579584</c:v>
                </c:pt>
                <c:pt idx="29" formatCode="_(* #,##0.00_);_(* \(#,##0.00\);_(* &quot;-&quot;??_);_(@_)">
                  <c:v>2589586</c:v>
                </c:pt>
                <c:pt idx="30" formatCode="0.00%">
                  <c:v>-4.5492985190958688</c:v>
                </c:pt>
                <c:pt idx="31" formatCode="_(* #,##0.00_);_(* \(#,##0.00\);_(* &quot;-&quot;??_);_(@_)">
                  <c:v>-3555010</c:v>
                </c:pt>
                <c:pt idx="32" formatCode="_(* #,##0.00_);_(* \(#,##0.00\);_(* &quot;-&quot;??_);_(@_)">
                  <c:v>-8.767843930350713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30-8A48-BAB5-896D0DEB19AC}"/>
            </c:ext>
          </c:extLst>
        </c:ser>
        <c:ser>
          <c:idx val="2"/>
          <c:order val="2"/>
          <c:tx>
            <c:strRef>
              <c:f>indici!$G$23</c:f>
              <c:strCache>
                <c:ptCount val="1"/>
                <c:pt idx="0">
                  <c:v>X+1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indici!$D$24:$D$56</c:f>
              <c:strCache>
                <c:ptCount val="33"/>
                <c:pt idx="0">
                  <c:v>ROI</c:v>
                </c:pt>
                <c:pt idx="1">
                  <c:v>ROE</c:v>
                </c:pt>
                <c:pt idx="2">
                  <c:v>ROS</c:v>
                </c:pt>
                <c:pt idx="3">
                  <c:v>ROD</c:v>
                </c:pt>
                <c:pt idx="4">
                  <c:v>LIQUIDITA'</c:v>
                </c:pt>
                <c:pt idx="5">
                  <c:v>QUICK RATIO</c:v>
                </c:pt>
                <c:pt idx="6">
                  <c:v>ROT MAG</c:v>
                </c:pt>
                <c:pt idx="7">
                  <c:v>GG MAGAZZINO</c:v>
                </c:pt>
                <c:pt idx="8">
                  <c:v>ROT ATT CORR</c:v>
                </c:pt>
                <c:pt idx="9">
                  <c:v>ROT CI</c:v>
                </c:pt>
                <c:pt idx="10">
                  <c:v>ROT CLIENTI</c:v>
                </c:pt>
                <c:pt idx="11">
                  <c:v>GG CLIENTI</c:v>
                </c:pt>
                <c:pt idx="12">
                  <c:v>ROT FOR</c:v>
                </c:pt>
                <c:pt idx="13">
                  <c:v>GG FOR</c:v>
                </c:pt>
                <c:pt idx="14">
                  <c:v>GG CL+GG MAG-GGFOR</c:v>
                </c:pt>
                <c:pt idx="15">
                  <c:v>CASH REDDITUALE</c:v>
                </c:pt>
                <c:pt idx="16">
                  <c:v>R/N PER</c:v>
                </c:pt>
                <c:pt idx="17">
                  <c:v>R/COSTO PER</c:v>
                </c:pt>
                <c:pt idx="18">
                  <c:v>VA/PER</c:v>
                </c:pt>
                <c:pt idx="19">
                  <c:v>RO/PER</c:v>
                </c:pt>
                <c:pt idx="20">
                  <c:v>MP/CI</c:v>
                </c:pt>
                <c:pt idx="21">
                  <c:v>MT/MP</c:v>
                </c:pt>
                <c:pt idx="22">
                  <c:v>DB/DL</c:v>
                </c:pt>
                <c:pt idx="23">
                  <c:v>D ATTIVITA'</c:v>
                </c:pt>
                <c:pt idx="24">
                  <c:v>D FATTURATO</c:v>
                </c:pt>
                <c:pt idx="25">
                  <c:v>D MP</c:v>
                </c:pt>
                <c:pt idx="26">
                  <c:v>D CAP</c:v>
                </c:pt>
                <c:pt idx="27">
                  <c:v>CI</c:v>
                </c:pt>
                <c:pt idx="28">
                  <c:v>MT</c:v>
                </c:pt>
                <c:pt idx="29">
                  <c:v>MP</c:v>
                </c:pt>
                <c:pt idx="30">
                  <c:v>OF/RO</c:v>
                </c:pt>
                <c:pt idx="31">
                  <c:v>PFN</c:v>
                </c:pt>
                <c:pt idx="32">
                  <c:v>PFN/MOL</c:v>
                </c:pt>
              </c:strCache>
            </c:strRef>
          </c:cat>
          <c:val>
            <c:numRef>
              <c:f>indici!$G$24:$G$56</c:f>
              <c:numCache>
                <c:formatCode>0.0%</c:formatCode>
                <c:ptCount val="33"/>
                <c:pt idx="0">
                  <c:v>1.9024734885848178E-2</c:v>
                </c:pt>
                <c:pt idx="1">
                  <c:v>7.8685886691250411E-3</c:v>
                </c:pt>
                <c:pt idx="2">
                  <c:v>1.9683441217214024E-2</c:v>
                </c:pt>
                <c:pt idx="3">
                  <c:v>-4.4286374817154174E-2</c:v>
                </c:pt>
                <c:pt idx="4" formatCode="0.00%">
                  <c:v>1.7034568324203641E-3</c:v>
                </c:pt>
                <c:pt idx="5" formatCode="_(* #,##0.00_);_(* \(#,##0.00\);_(* &quot;-&quot;??_);_(@_)">
                  <c:v>0.9530333141913705</c:v>
                </c:pt>
                <c:pt idx="6" formatCode="_(* #,##0.00_);_(* \(#,##0.00\);_(* &quot;-&quot;??_);_(@_)">
                  <c:v>1.8026338563761664</c:v>
                </c:pt>
                <c:pt idx="7" formatCode="_(* #,##0.00_);_(* \(#,##0.00\);_(* &quot;-&quot;??_);_(@_)">
                  <c:v>199.7077768880408</c:v>
                </c:pt>
                <c:pt idx="8" formatCode="_(* #,##0.00_);_(* \(#,##0.00\);_(* &quot;-&quot;??_);_(@_)">
                  <c:v>1.148130107199915</c:v>
                </c:pt>
                <c:pt idx="9" formatCode="_(* #,##0.00_);_(* \(#,##0.00\);_(* &quot;-&quot;??_);_(@_)">
                  <c:v>0.96653500147170512</c:v>
                </c:pt>
                <c:pt idx="10" formatCode="_(* #,##0.00_);_(* \(#,##0.00\);_(* &quot;-&quot;??_);_(@_)">
                  <c:v>4.3251845548500647</c:v>
                </c:pt>
                <c:pt idx="11" formatCode="_(* #,##0.00_);_(* \(#,##0.00\);_(* &quot;-&quot;??_);_(@_)">
                  <c:v>83.233442512022393</c:v>
                </c:pt>
                <c:pt idx="12" formatCode="_(* #,##0.00_);_(* \(#,##0.00\);_(* &quot;-&quot;??_);_(@_)">
                  <c:v>1.798329795590079</c:v>
                </c:pt>
                <c:pt idx="13" formatCode="_(* #,##0.00_);_(* \(#,##0.00\);_(* &quot;-&quot;??_);_(@_)">
                  <c:v>200.18575062416437</c:v>
                </c:pt>
                <c:pt idx="14" formatCode="_(* #,##0.00_);_(* \(#,##0.00\);_(* &quot;-&quot;??_);_(@_)">
                  <c:v>82.755468775898819</c:v>
                </c:pt>
                <c:pt idx="15" formatCode="_(* #,##0.00_);_(* \(#,##0.00\);_(* &quot;-&quot;??_);_(@_)">
                  <c:v>423822</c:v>
                </c:pt>
                <c:pt idx="16" formatCode="_(* #,##0.00_);_(* \(#,##0.00\);_(* &quot;-&quot;??_);_(@_)">
                  <c:v>396455.06666666665</c:v>
                </c:pt>
                <c:pt idx="17" formatCode="_(* #,##0.00_);_(* \(#,##0.00\);_(* &quot;-&quot;??_);_(@_)">
                  <c:v>7.0818394982190682</c:v>
                </c:pt>
                <c:pt idx="18" formatCode="_(* #,##0.00_);_(* \(#,##0.00\);_(* &quot;-&quot;??_);_(@_)">
                  <c:v>84624.8</c:v>
                </c:pt>
                <c:pt idx="19" formatCode="_(* #,##0.00_);_(* \(#,##0.00\);_(* &quot;-&quot;??_);_(@_)">
                  <c:v>7803.6</c:v>
                </c:pt>
                <c:pt idx="20">
                  <c:v>0.4242224626576151</c:v>
                </c:pt>
                <c:pt idx="21" formatCode="_(* #,##0.00_);_(* \(#,##0.00\);_(* &quot;-&quot;??_);_(@_)">
                  <c:v>1.3572537713711028</c:v>
                </c:pt>
                <c:pt idx="22" formatCode="0%">
                  <c:v>0.80668031731379741</c:v>
                </c:pt>
                <c:pt idx="23">
                  <c:v>-1.2221078364372917E-2</c:v>
                </c:pt>
                <c:pt idx="24" formatCode="0.00%">
                  <c:v>7.0715567529163748E-2</c:v>
                </c:pt>
                <c:pt idx="25" formatCode="0.00%">
                  <c:v>7.931383626571975E-3</c:v>
                </c:pt>
                <c:pt idx="26" formatCode="0.00%">
                  <c:v>-2.6653504442251119E-3</c:v>
                </c:pt>
                <c:pt idx="27" formatCode="_(* #,##0.00_);_(* \(#,##0.00\);_(* &quot;-&quot;??_);_(@_)">
                  <c:v>6152727</c:v>
                </c:pt>
                <c:pt idx="28" formatCode="_(* #,##0.00_);_(* \(#,##0.00\);_(* &quot;-&quot;??_);_(@_)">
                  <c:v>3542602</c:v>
                </c:pt>
                <c:pt idx="29" formatCode="_(* #,##0.00_);_(* \(#,##0.00\);_(* &quot;-&quot;??_);_(@_)">
                  <c:v>2610125</c:v>
                </c:pt>
                <c:pt idx="30" formatCode="0.00%">
                  <c:v>-1.3403130179233516</c:v>
                </c:pt>
                <c:pt idx="31" formatCode="_(* #,##0.00_);_(* \(#,##0.00\);_(* &quot;-&quot;??_);_(@_)">
                  <c:v>-3533344</c:v>
                </c:pt>
                <c:pt idx="32" formatCode="_(* #,##0.00_);_(* \(#,##0.00\);_(* &quot;-&quot;??_);_(@_)">
                  <c:v>-8.2239068249686369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30-8A48-BAB5-896D0DEB1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1243664"/>
        <c:axId val="610341120"/>
      </c:barChart>
      <c:catAx>
        <c:axId val="61124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10341120"/>
        <c:crosses val="autoZero"/>
        <c:auto val="1"/>
        <c:lblAlgn val="ctr"/>
        <c:lblOffset val="100"/>
        <c:noMultiLvlLbl val="0"/>
      </c:catAx>
      <c:valAx>
        <c:axId val="610341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11243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15" fmlaLink="$O$3" max="4" min="1" page="1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13" Type="http://schemas.openxmlformats.org/officeDocument/2006/relationships/chart" Target="../charts/chart21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12" Type="http://schemas.openxmlformats.org/officeDocument/2006/relationships/chart" Target="../charts/chart20.xml"/><Relationship Id="rId17" Type="http://schemas.openxmlformats.org/officeDocument/2006/relationships/chart" Target="../charts/chart25.xml"/><Relationship Id="rId2" Type="http://schemas.openxmlformats.org/officeDocument/2006/relationships/chart" Target="../charts/chart10.xml"/><Relationship Id="rId16" Type="http://schemas.openxmlformats.org/officeDocument/2006/relationships/chart" Target="../charts/chart24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11" Type="http://schemas.openxmlformats.org/officeDocument/2006/relationships/chart" Target="../charts/chart19.xml"/><Relationship Id="rId5" Type="http://schemas.openxmlformats.org/officeDocument/2006/relationships/chart" Target="../charts/chart13.xml"/><Relationship Id="rId15" Type="http://schemas.openxmlformats.org/officeDocument/2006/relationships/chart" Target="../charts/chart23.xml"/><Relationship Id="rId10" Type="http://schemas.openxmlformats.org/officeDocument/2006/relationships/chart" Target="../charts/chart18.xml"/><Relationship Id="rId4" Type="http://schemas.openxmlformats.org/officeDocument/2006/relationships/chart" Target="../charts/chart12.xml"/><Relationship Id="rId9" Type="http://schemas.openxmlformats.org/officeDocument/2006/relationships/chart" Target="../charts/chart17.xml"/><Relationship Id="rId1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3.xml"/><Relationship Id="rId3" Type="http://schemas.openxmlformats.org/officeDocument/2006/relationships/chart" Target="../charts/chart28.xml"/><Relationship Id="rId7" Type="http://schemas.openxmlformats.org/officeDocument/2006/relationships/chart" Target="../charts/chart32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Relationship Id="rId6" Type="http://schemas.openxmlformats.org/officeDocument/2006/relationships/chart" Target="../charts/chart31.xml"/><Relationship Id="rId5" Type="http://schemas.openxmlformats.org/officeDocument/2006/relationships/chart" Target="../charts/chart30.xml"/><Relationship Id="rId4" Type="http://schemas.openxmlformats.org/officeDocument/2006/relationships/chart" Target="../charts/chart29.xml"/><Relationship Id="rId9" Type="http://schemas.openxmlformats.org/officeDocument/2006/relationships/chart" Target="../charts/chart3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152400</xdr:colOff>
      <xdr:row>2</xdr:row>
      <xdr:rowOff>215900</xdr:rowOff>
    </xdr:from>
    <xdr:to>
      <xdr:col>14</xdr:col>
      <xdr:colOff>596900</xdr:colOff>
      <xdr:row>14</xdr:row>
      <xdr:rowOff>215900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42EDE3E3-F3F6-EAD6-3802-B71082C988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787400</xdr:colOff>
      <xdr:row>3</xdr:row>
      <xdr:rowOff>25400</xdr:rowOff>
    </xdr:from>
    <xdr:to>
      <xdr:col>20</xdr:col>
      <xdr:colOff>406400</xdr:colOff>
      <xdr:row>15</xdr:row>
      <xdr:rowOff>12700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C230EE0A-DD0B-A00B-5F7A-DD54E8C3C8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76200</xdr:colOff>
      <xdr:row>17</xdr:row>
      <xdr:rowOff>12700</xdr:rowOff>
    </xdr:from>
    <xdr:to>
      <xdr:col>14</xdr:col>
      <xdr:colOff>520700</xdr:colOff>
      <xdr:row>28</xdr:row>
      <xdr:rowOff>190500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28C3C0DD-DABC-B06B-2867-E342C958DA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177800</xdr:colOff>
      <xdr:row>16</xdr:row>
      <xdr:rowOff>203200</xdr:rowOff>
    </xdr:from>
    <xdr:to>
      <xdr:col>20</xdr:col>
      <xdr:colOff>622300</xdr:colOff>
      <xdr:row>28</xdr:row>
      <xdr:rowOff>152400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0D423F02-A74E-E5B8-B21F-324FCE8758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762000</xdr:colOff>
      <xdr:row>30</xdr:row>
      <xdr:rowOff>215900</xdr:rowOff>
    </xdr:from>
    <xdr:to>
      <xdr:col>14</xdr:col>
      <xdr:colOff>381000</xdr:colOff>
      <xdr:row>42</xdr:row>
      <xdr:rowOff>190500</xdr:rowOff>
    </xdr:to>
    <xdr:graphicFrame macro="">
      <xdr:nvGraphicFramePr>
        <xdr:cNvPr id="13" name="Grafico 12">
          <a:extLst>
            <a:ext uri="{FF2B5EF4-FFF2-40B4-BE49-F238E27FC236}">
              <a16:creationId xmlns:a16="http://schemas.microsoft.com/office/drawing/2014/main" id="{A0F0A864-8009-6202-7425-0D3F75A07D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101600</xdr:colOff>
      <xdr:row>30</xdr:row>
      <xdr:rowOff>165100</xdr:rowOff>
    </xdr:from>
    <xdr:to>
      <xdr:col>20</xdr:col>
      <xdr:colOff>546100</xdr:colOff>
      <xdr:row>42</xdr:row>
      <xdr:rowOff>139700</xdr:rowOff>
    </xdr:to>
    <xdr:graphicFrame macro="">
      <xdr:nvGraphicFramePr>
        <xdr:cNvPr id="14" name="Grafico 13">
          <a:extLst>
            <a:ext uri="{FF2B5EF4-FFF2-40B4-BE49-F238E27FC236}">
              <a16:creationId xmlns:a16="http://schemas.microsoft.com/office/drawing/2014/main" id="{75523773-FCBC-F173-47C2-CD8BC31502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736600</xdr:colOff>
      <xdr:row>46</xdr:row>
      <xdr:rowOff>38100</xdr:rowOff>
    </xdr:from>
    <xdr:to>
      <xdr:col>14</xdr:col>
      <xdr:colOff>355600</xdr:colOff>
      <xdr:row>58</xdr:row>
      <xdr:rowOff>12700</xdr:rowOff>
    </xdr:to>
    <xdr:graphicFrame macro="">
      <xdr:nvGraphicFramePr>
        <xdr:cNvPr id="15" name="Grafico 14">
          <a:extLst>
            <a:ext uri="{FF2B5EF4-FFF2-40B4-BE49-F238E27FC236}">
              <a16:creationId xmlns:a16="http://schemas.microsoft.com/office/drawing/2014/main" id="{951916AC-584E-5C58-36E1-BEE775E1AA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342900</xdr:colOff>
      <xdr:row>2</xdr:row>
      <xdr:rowOff>114300</xdr:rowOff>
    </xdr:from>
    <xdr:to>
      <xdr:col>15</xdr:col>
      <xdr:colOff>508000</xdr:colOff>
      <xdr:row>39</xdr:row>
      <xdr:rowOff>152400</xdr:rowOff>
    </xdr:to>
    <xdr:sp macro="" textlink="">
      <xdr:nvSpPr>
        <xdr:cNvPr id="5122" name="Text Box 2">
          <a:extLst>
            <a:ext uri="{FF2B5EF4-FFF2-40B4-BE49-F238E27FC236}">
              <a16:creationId xmlns:a16="http://schemas.microsoft.com/office/drawing/2014/main" id="{02085D9F-2101-6E48-A33C-BE85A038B807}"/>
            </a:ext>
          </a:extLst>
        </xdr:cNvPr>
        <xdr:cNvSpPr txBox="1">
          <a:spLocks noChangeArrowheads="1"/>
        </xdr:cNvSpPr>
      </xdr:nvSpPr>
      <xdr:spPr bwMode="auto">
        <a:xfrm>
          <a:off x="11836400" y="419100"/>
          <a:ext cx="3835400" cy="6045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it-IT" sz="90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questi dati sono presi dal foglio del conto economico a margine di contribuzione; in alto sono riportati i fatturati e i redditi operativi degli anni x+1 e x; servono per calcolare la leva operativa.</a:t>
          </a:r>
        </a:p>
        <a:p>
          <a:pPr algn="l" rtl="0">
            <a:defRPr sz="1000"/>
          </a:pPr>
          <a:r>
            <a:rPr lang="it-IT" sz="90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Il punto di pareggio è dato dalla formula</a:t>
          </a:r>
        </a:p>
        <a:p>
          <a:pPr algn="l" rtl="0">
            <a:defRPr sz="1000"/>
          </a:pPr>
          <a:r>
            <a:rPr lang="it-IT" sz="90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COSTI FISSI/MARGINE DI CONTRIBUZIONE %</a:t>
          </a:r>
        </a:p>
        <a:p>
          <a:pPr algn="l" rtl="0">
            <a:defRPr sz="1000"/>
          </a:pPr>
          <a:r>
            <a:rPr lang="it-IT" sz="90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nelle celle inferiori si vede lo sviluppo del bilancio con il fatturato di pareggio e con la stessa struttura di costo</a:t>
          </a:r>
        </a:p>
        <a:p>
          <a:pPr algn="l" rtl="0">
            <a:defRPr sz="1000"/>
          </a:pPr>
          <a:r>
            <a:rPr lang="it-IT" sz="90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Nella cella in rosso si puo' inserire il reddito desiderato e visualizzare il nuovo punto di pareggio</a:t>
          </a:r>
        </a:p>
        <a:p>
          <a:pPr algn="l" rtl="0">
            <a:defRPr sz="1000"/>
          </a:pPr>
          <a:r>
            <a:rPr lang="it-IT" sz="90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la leva operativa è data dalla formula</a:t>
          </a:r>
        </a:p>
        <a:p>
          <a:pPr algn="l" rtl="0">
            <a:defRPr sz="1000"/>
          </a:pPr>
          <a:r>
            <a:rPr lang="it-IT" sz="90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FATTURATO/(FATTURATO-FATTURATO DI PAREGGIO)</a:t>
          </a:r>
        </a:p>
        <a:p>
          <a:pPr algn="l" rtl="0">
            <a:defRPr sz="1000"/>
          </a:pPr>
          <a:r>
            <a:rPr lang="it-IT" sz="90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e misura la variazione percentuale del reddito operativo al variare del fatturato</a:t>
          </a:r>
        </a:p>
        <a:p>
          <a:pPr algn="l" rtl="0">
            <a:defRPr sz="1000"/>
          </a:pPr>
          <a:r>
            <a:rPr lang="it-IT" sz="90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le celle sono protette con la password impresaefficace, tranne quelle in rosso; se vuoi sbloccarle vai in strumenti, protezione, sblocca celle e inserisci la password.</a:t>
          </a:r>
        </a:p>
        <a:p>
          <a:pPr algn="l" rtl="0">
            <a:defRPr sz="1000"/>
          </a:pPr>
          <a:endParaRPr lang="it-IT" sz="900" b="0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</xdr:txBody>
    </xdr:sp>
    <xdr:clientData/>
  </xdr:twoCellAnchor>
  <xdr:twoCellAnchor>
    <xdr:from>
      <xdr:col>0</xdr:col>
      <xdr:colOff>127000</xdr:colOff>
      <xdr:row>42</xdr:row>
      <xdr:rowOff>50800</xdr:rowOff>
    </xdr:from>
    <xdr:to>
      <xdr:col>10</xdr:col>
      <xdr:colOff>139700</xdr:colOff>
      <xdr:row>45</xdr:row>
      <xdr:rowOff>0</xdr:rowOff>
    </xdr:to>
    <xdr:sp macro="" textlink="">
      <xdr:nvSpPr>
        <xdr:cNvPr id="5123" name="Text Box 3">
          <a:extLst>
            <a:ext uri="{FF2B5EF4-FFF2-40B4-BE49-F238E27FC236}">
              <a16:creationId xmlns:a16="http://schemas.microsoft.com/office/drawing/2014/main" id="{BA166372-1F23-3042-AF24-07B7C94D432F}"/>
            </a:ext>
          </a:extLst>
        </xdr:cNvPr>
        <xdr:cNvSpPr txBox="1">
          <a:spLocks noChangeArrowheads="1"/>
        </xdr:cNvSpPr>
      </xdr:nvSpPr>
      <xdr:spPr bwMode="auto">
        <a:xfrm>
          <a:off x="127000" y="6997700"/>
          <a:ext cx="10210800" cy="406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it-IT" sz="90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questa tabella mostra il risultato economico al variare del margine di contribuzione e del fatturato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812271</xdr:colOff>
      <xdr:row>47</xdr:row>
      <xdr:rowOff>14817</xdr:rowOff>
    </xdr:from>
    <xdr:to>
      <xdr:col>4</xdr:col>
      <xdr:colOff>801688</xdr:colOff>
      <xdr:row>64</xdr:row>
      <xdr:rowOff>149225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74308BF-3954-5B31-5CF0-1ABBA99D4C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139700</xdr:colOff>
      <xdr:row>46</xdr:row>
      <xdr:rowOff>127000</xdr:rowOff>
    </xdr:from>
    <xdr:to>
      <xdr:col>10</xdr:col>
      <xdr:colOff>1231900</xdr:colOff>
      <xdr:row>50</xdr:row>
      <xdr:rowOff>88782</xdr:rowOff>
    </xdr:to>
    <xdr:sp macro="" textlink="">
      <xdr:nvSpPr>
        <xdr:cNvPr id="9217" name="Text Box 1">
          <a:extLst>
            <a:ext uri="{FF2B5EF4-FFF2-40B4-BE49-F238E27FC236}">
              <a16:creationId xmlns:a16="http://schemas.microsoft.com/office/drawing/2014/main" id="{C82E2D77-6C73-2746-A5F5-2244ED92B56F}"/>
            </a:ext>
          </a:extLst>
        </xdr:cNvPr>
        <xdr:cNvSpPr txBox="1">
          <a:spLocks noChangeArrowheads="1"/>
        </xdr:cNvSpPr>
      </xdr:nvSpPr>
      <xdr:spPr bwMode="auto">
        <a:xfrm>
          <a:off x="9956800" y="8724900"/>
          <a:ext cx="6388100" cy="889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it-IT" sz="90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nelle celle in giallo è possibile inserire le variazioni previste per l'anno successivo; in conto economico le fvarizioni son oin %; nelle altre celle inserire il valore assoluto in aumento o in diminuzione. In basso è possibile visualizzare il rendiconto finanziario previso-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452967</xdr:colOff>
      <xdr:row>9</xdr:row>
      <xdr:rowOff>101601</xdr:rowOff>
    </xdr:from>
    <xdr:to>
      <xdr:col>1</xdr:col>
      <xdr:colOff>1612900</xdr:colOff>
      <xdr:row>16</xdr:row>
      <xdr:rowOff>63501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TIPO">
              <a:extLst>
                <a:ext uri="{FF2B5EF4-FFF2-40B4-BE49-F238E27FC236}">
                  <a16:creationId xmlns:a16="http://schemas.microsoft.com/office/drawing/2014/main" id="{F5F58281-DF41-BD45-A374-3DB4F2DCD64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52967" y="2159001"/>
              <a:ext cx="2379133" cy="1066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Questa forma rappresenta un filtro dei dati di tabella. I filtri dei dati di tabella non sono supportati in questa versione di Excel
Se la forma è stata modificata in una versione precedente di Excel o se la cartella di lavoro è stata salvata in Excel 2007 o versione precedente, non è possibile usare il filtro dei dati.</a:t>
              </a:r>
            </a:p>
          </xdr:txBody>
        </xdr:sp>
      </mc:Fallback>
    </mc:AlternateContent>
    <xdr:clientData/>
  </xdr:twoCellAnchor>
  <xdr:twoCellAnchor editAs="absolute">
    <xdr:from>
      <xdr:col>1</xdr:col>
      <xdr:colOff>1629833</xdr:colOff>
      <xdr:row>9</xdr:row>
      <xdr:rowOff>63500</xdr:rowOff>
    </xdr:from>
    <xdr:to>
      <xdr:col>5</xdr:col>
      <xdr:colOff>675705</xdr:colOff>
      <xdr:row>17</xdr:row>
      <xdr:rowOff>114299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INDICATORE">
              <a:extLst>
                <a:ext uri="{FF2B5EF4-FFF2-40B4-BE49-F238E27FC236}">
                  <a16:creationId xmlns:a16="http://schemas.microsoft.com/office/drawing/2014/main" id="{B3E7562E-5720-AF47-AEB6-A34593AB642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INDICATOR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849033" y="2120900"/>
              <a:ext cx="5281572" cy="13080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Questa forma rappresenta un filtro dei dati di tabella. I filtri dei dati di tabella non sono supportati in questa versione di Excel
Se la forma è stata modificata in una versione precedente di Excel o se la cartella di lavoro è stata salvata in Excel 2007 o versione precedente, non è possibile usare il filtro dei dati.</a:t>
              </a:r>
            </a:p>
          </xdr:txBody>
        </xdr:sp>
      </mc:Fallback>
    </mc:AlternateContent>
    <xdr:clientData/>
  </xdr:twoCellAnchor>
  <xdr:twoCellAnchor>
    <xdr:from>
      <xdr:col>8</xdr:col>
      <xdr:colOff>177800</xdr:colOff>
      <xdr:row>1</xdr:row>
      <xdr:rowOff>88900</xdr:rowOff>
    </xdr:from>
    <xdr:to>
      <xdr:col>11</xdr:col>
      <xdr:colOff>2019300</xdr:colOff>
      <xdr:row>17</xdr:row>
      <xdr:rowOff>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4AAD00D2-E646-3460-F881-571CEBBEA2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31750</xdr:colOff>
      <xdr:row>61</xdr:row>
      <xdr:rowOff>19050</xdr:rowOff>
    </xdr:from>
    <xdr:to>
      <xdr:col>2</xdr:col>
      <xdr:colOff>1663700</xdr:colOff>
      <xdr:row>79</xdr:row>
      <xdr:rowOff>114300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143B314F-49E8-E041-8251-14A9D3DC8A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1003300</xdr:colOff>
      <xdr:row>61</xdr:row>
      <xdr:rowOff>0</xdr:rowOff>
    </xdr:from>
    <xdr:to>
      <xdr:col>13</xdr:col>
      <xdr:colOff>0</xdr:colOff>
      <xdr:row>79</xdr:row>
      <xdr:rowOff>139700</xdr:rowOff>
    </xdr:to>
    <xdr:graphicFrame macro="">
      <xdr:nvGraphicFramePr>
        <xdr:cNvPr id="21" name="Grafico 20">
          <a:extLst>
            <a:ext uri="{FF2B5EF4-FFF2-40B4-BE49-F238E27FC236}">
              <a16:creationId xmlns:a16="http://schemas.microsoft.com/office/drawing/2014/main" id="{D3E1AC5E-C6CB-AD41-98E3-1AC954AA8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84</xdr:row>
      <xdr:rowOff>342900</xdr:rowOff>
    </xdr:from>
    <xdr:to>
      <xdr:col>3</xdr:col>
      <xdr:colOff>0</xdr:colOff>
      <xdr:row>103</xdr:row>
      <xdr:rowOff>139700</xdr:rowOff>
    </xdr:to>
    <xdr:graphicFrame macro="">
      <xdr:nvGraphicFramePr>
        <xdr:cNvPr id="22" name="Grafico 21">
          <a:extLst>
            <a:ext uri="{FF2B5EF4-FFF2-40B4-BE49-F238E27FC236}">
              <a16:creationId xmlns:a16="http://schemas.microsoft.com/office/drawing/2014/main" id="{9E57ACE4-1DBB-7246-BBAA-5FDC810922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1003300</xdr:colOff>
      <xdr:row>85</xdr:row>
      <xdr:rowOff>12700</xdr:rowOff>
    </xdr:from>
    <xdr:to>
      <xdr:col>13</xdr:col>
      <xdr:colOff>12700</xdr:colOff>
      <xdr:row>103</xdr:row>
      <xdr:rowOff>139700</xdr:rowOff>
    </xdr:to>
    <xdr:graphicFrame macro="">
      <xdr:nvGraphicFramePr>
        <xdr:cNvPr id="23" name="Grafico 22">
          <a:extLst>
            <a:ext uri="{FF2B5EF4-FFF2-40B4-BE49-F238E27FC236}">
              <a16:creationId xmlns:a16="http://schemas.microsoft.com/office/drawing/2014/main" id="{88691E54-E45E-1A43-A4D6-904706F349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19050</xdr:colOff>
      <xdr:row>107</xdr:row>
      <xdr:rowOff>63500</xdr:rowOff>
    </xdr:from>
    <xdr:to>
      <xdr:col>2</xdr:col>
      <xdr:colOff>1600200</xdr:colOff>
      <xdr:row>126</xdr:row>
      <xdr:rowOff>101600</xdr:rowOff>
    </xdr:to>
    <xdr:graphicFrame macro="">
      <xdr:nvGraphicFramePr>
        <xdr:cNvPr id="24" name="Grafico 23">
          <a:extLst>
            <a:ext uri="{FF2B5EF4-FFF2-40B4-BE49-F238E27FC236}">
              <a16:creationId xmlns:a16="http://schemas.microsoft.com/office/drawing/2014/main" id="{39FF2EE6-7BC4-064B-9DD5-1FB95C446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19050</xdr:colOff>
      <xdr:row>107</xdr:row>
      <xdr:rowOff>25400</xdr:rowOff>
    </xdr:from>
    <xdr:to>
      <xdr:col>13</xdr:col>
      <xdr:colOff>0</xdr:colOff>
      <xdr:row>125</xdr:row>
      <xdr:rowOff>127000</xdr:rowOff>
    </xdr:to>
    <xdr:graphicFrame macro="">
      <xdr:nvGraphicFramePr>
        <xdr:cNvPr id="25" name="Grafico 24">
          <a:extLst>
            <a:ext uri="{FF2B5EF4-FFF2-40B4-BE49-F238E27FC236}">
              <a16:creationId xmlns:a16="http://schemas.microsoft.com/office/drawing/2014/main" id="{AB64B6B1-AC22-ED4C-84EC-477B3C7AB6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129</xdr:row>
      <xdr:rowOff>12700</xdr:rowOff>
    </xdr:from>
    <xdr:to>
      <xdr:col>2</xdr:col>
      <xdr:colOff>1663700</xdr:colOff>
      <xdr:row>148</xdr:row>
      <xdr:rowOff>0</xdr:rowOff>
    </xdr:to>
    <xdr:graphicFrame macro="">
      <xdr:nvGraphicFramePr>
        <xdr:cNvPr id="26" name="Grafico 25">
          <a:extLst>
            <a:ext uri="{FF2B5EF4-FFF2-40B4-BE49-F238E27FC236}">
              <a16:creationId xmlns:a16="http://schemas.microsoft.com/office/drawing/2014/main" id="{4316C2AE-F82D-C544-84EA-BAD4AFE31E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1003300</xdr:colOff>
      <xdr:row>129</xdr:row>
      <xdr:rowOff>12700</xdr:rowOff>
    </xdr:from>
    <xdr:to>
      <xdr:col>13</xdr:col>
      <xdr:colOff>25400</xdr:colOff>
      <xdr:row>147</xdr:row>
      <xdr:rowOff>139700</xdr:rowOff>
    </xdr:to>
    <xdr:graphicFrame macro="">
      <xdr:nvGraphicFramePr>
        <xdr:cNvPr id="27" name="Grafico 26">
          <a:extLst>
            <a:ext uri="{FF2B5EF4-FFF2-40B4-BE49-F238E27FC236}">
              <a16:creationId xmlns:a16="http://schemas.microsoft.com/office/drawing/2014/main" id="{CFCFE253-D9FA-F44B-8896-DD2B191DFC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151</xdr:row>
      <xdr:rowOff>12700</xdr:rowOff>
    </xdr:from>
    <xdr:to>
      <xdr:col>3</xdr:col>
      <xdr:colOff>25400</xdr:colOff>
      <xdr:row>170</xdr:row>
      <xdr:rowOff>0</xdr:rowOff>
    </xdr:to>
    <xdr:graphicFrame macro="">
      <xdr:nvGraphicFramePr>
        <xdr:cNvPr id="28" name="Grafico 27">
          <a:extLst>
            <a:ext uri="{FF2B5EF4-FFF2-40B4-BE49-F238E27FC236}">
              <a16:creationId xmlns:a16="http://schemas.microsoft.com/office/drawing/2014/main" id="{078F61C7-009A-E141-9427-D439A2B45C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1003300</xdr:colOff>
      <xdr:row>151</xdr:row>
      <xdr:rowOff>50800</xdr:rowOff>
    </xdr:from>
    <xdr:to>
      <xdr:col>12</xdr:col>
      <xdr:colOff>1409700</xdr:colOff>
      <xdr:row>169</xdr:row>
      <xdr:rowOff>139700</xdr:rowOff>
    </xdr:to>
    <xdr:graphicFrame macro="">
      <xdr:nvGraphicFramePr>
        <xdr:cNvPr id="29" name="Grafico 28">
          <a:extLst>
            <a:ext uri="{FF2B5EF4-FFF2-40B4-BE49-F238E27FC236}">
              <a16:creationId xmlns:a16="http://schemas.microsoft.com/office/drawing/2014/main" id="{DDE6A001-8885-DB45-B48D-13D5589EA2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176</xdr:row>
      <xdr:rowOff>0</xdr:rowOff>
    </xdr:from>
    <xdr:to>
      <xdr:col>2</xdr:col>
      <xdr:colOff>1663700</xdr:colOff>
      <xdr:row>195</xdr:row>
      <xdr:rowOff>0</xdr:rowOff>
    </xdr:to>
    <xdr:graphicFrame macro="">
      <xdr:nvGraphicFramePr>
        <xdr:cNvPr id="30" name="Grafico 29">
          <a:extLst>
            <a:ext uri="{FF2B5EF4-FFF2-40B4-BE49-F238E27FC236}">
              <a16:creationId xmlns:a16="http://schemas.microsoft.com/office/drawing/2014/main" id="{555D98EB-D3D0-7F49-A741-9C140906F0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10</xdr:col>
      <xdr:colOff>0</xdr:colOff>
      <xdr:row>176</xdr:row>
      <xdr:rowOff>12700</xdr:rowOff>
    </xdr:from>
    <xdr:to>
      <xdr:col>12</xdr:col>
      <xdr:colOff>1422400</xdr:colOff>
      <xdr:row>195</xdr:row>
      <xdr:rowOff>12700</xdr:rowOff>
    </xdr:to>
    <xdr:graphicFrame macro="">
      <xdr:nvGraphicFramePr>
        <xdr:cNvPr id="31" name="Grafico 30">
          <a:extLst>
            <a:ext uri="{FF2B5EF4-FFF2-40B4-BE49-F238E27FC236}">
              <a16:creationId xmlns:a16="http://schemas.microsoft.com/office/drawing/2014/main" id="{E3982DBE-4037-524F-95E3-1B7737015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199</xdr:row>
      <xdr:rowOff>25400</xdr:rowOff>
    </xdr:from>
    <xdr:to>
      <xdr:col>2</xdr:col>
      <xdr:colOff>1663700</xdr:colOff>
      <xdr:row>217</xdr:row>
      <xdr:rowOff>127000</xdr:rowOff>
    </xdr:to>
    <xdr:graphicFrame macro="">
      <xdr:nvGraphicFramePr>
        <xdr:cNvPr id="32" name="Grafico 31">
          <a:extLst>
            <a:ext uri="{FF2B5EF4-FFF2-40B4-BE49-F238E27FC236}">
              <a16:creationId xmlns:a16="http://schemas.microsoft.com/office/drawing/2014/main" id="{D5E7DF61-B9A6-C04E-BAD2-65B7B12285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9</xdr:col>
      <xdr:colOff>990600</xdr:colOff>
      <xdr:row>199</xdr:row>
      <xdr:rowOff>12700</xdr:rowOff>
    </xdr:from>
    <xdr:to>
      <xdr:col>13</xdr:col>
      <xdr:colOff>12700</xdr:colOff>
      <xdr:row>218</xdr:row>
      <xdr:rowOff>0</xdr:rowOff>
    </xdr:to>
    <xdr:graphicFrame macro="">
      <xdr:nvGraphicFramePr>
        <xdr:cNvPr id="33" name="Grafico 32">
          <a:extLst>
            <a:ext uri="{FF2B5EF4-FFF2-40B4-BE49-F238E27FC236}">
              <a16:creationId xmlns:a16="http://schemas.microsoft.com/office/drawing/2014/main" id="{5D9B3ACF-2913-C141-A9DD-5FA89B9E5A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6350</xdr:colOff>
      <xdr:row>222</xdr:row>
      <xdr:rowOff>25400</xdr:rowOff>
    </xdr:from>
    <xdr:to>
      <xdr:col>2</xdr:col>
      <xdr:colOff>1651000</xdr:colOff>
      <xdr:row>240</xdr:row>
      <xdr:rowOff>139700</xdr:rowOff>
    </xdr:to>
    <xdr:graphicFrame macro="">
      <xdr:nvGraphicFramePr>
        <xdr:cNvPr id="34" name="Grafico 33">
          <a:extLst>
            <a:ext uri="{FF2B5EF4-FFF2-40B4-BE49-F238E27FC236}">
              <a16:creationId xmlns:a16="http://schemas.microsoft.com/office/drawing/2014/main" id="{36A262EF-979E-B94F-BC44-556A9B7A86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10</xdr:col>
      <xdr:colOff>6350</xdr:colOff>
      <xdr:row>222</xdr:row>
      <xdr:rowOff>0</xdr:rowOff>
    </xdr:from>
    <xdr:to>
      <xdr:col>13</xdr:col>
      <xdr:colOff>12700</xdr:colOff>
      <xdr:row>240</xdr:row>
      <xdr:rowOff>139700</xdr:rowOff>
    </xdr:to>
    <xdr:graphicFrame macro="">
      <xdr:nvGraphicFramePr>
        <xdr:cNvPr id="35" name="Grafico 34">
          <a:extLst>
            <a:ext uri="{FF2B5EF4-FFF2-40B4-BE49-F238E27FC236}">
              <a16:creationId xmlns:a16="http://schemas.microsoft.com/office/drawing/2014/main" id="{C6DE589E-226D-1C42-9CC0-E3E6938EDF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452967</xdr:colOff>
      <xdr:row>9</xdr:row>
      <xdr:rowOff>101601</xdr:rowOff>
    </xdr:from>
    <xdr:to>
      <xdr:col>1</xdr:col>
      <xdr:colOff>1612900</xdr:colOff>
      <xdr:row>16</xdr:row>
      <xdr:rowOff>63501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TIPO 1">
              <a:extLst>
                <a:ext uri="{FF2B5EF4-FFF2-40B4-BE49-F238E27FC236}">
                  <a16:creationId xmlns:a16="http://schemas.microsoft.com/office/drawing/2014/main" id="{F6DB085C-E6FD-984E-B8E4-9C0863823B6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52967" y="2159001"/>
              <a:ext cx="2379133" cy="1066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Questa forma rappresenta un filtro dei dati di tabella. I filtri dei dati di tabella non sono supportati in questa versione di Excel
Se la forma è stata modificata in una versione precedente di Excel o se la cartella di lavoro è stata salvata in Excel 2007 o versione precedente, non è possibile usare il filtro dei dati.</a:t>
              </a:r>
            </a:p>
          </xdr:txBody>
        </xdr:sp>
      </mc:Fallback>
    </mc:AlternateContent>
    <xdr:clientData/>
  </xdr:twoCellAnchor>
  <xdr:twoCellAnchor editAs="absolute">
    <xdr:from>
      <xdr:col>1</xdr:col>
      <xdr:colOff>1629833</xdr:colOff>
      <xdr:row>9</xdr:row>
      <xdr:rowOff>63500</xdr:rowOff>
    </xdr:from>
    <xdr:to>
      <xdr:col>5</xdr:col>
      <xdr:colOff>675705</xdr:colOff>
      <xdr:row>17</xdr:row>
      <xdr:rowOff>114299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INDICATORE 1">
              <a:extLst>
                <a:ext uri="{FF2B5EF4-FFF2-40B4-BE49-F238E27FC236}">
                  <a16:creationId xmlns:a16="http://schemas.microsoft.com/office/drawing/2014/main" id="{6B18C468-9D11-F94A-9E94-F09D6D96D4A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INDICATOR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849033" y="2120900"/>
              <a:ext cx="5281572" cy="13080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Questa forma rappresenta un filtro dei dati di tabella. I filtri dei dati di tabella non sono supportati in questa versione di Excel
Se la forma è stata modificata in una versione precedente di Excel o se la cartella di lavoro è stata salvata in Excel 2007 o versione precedente, non è possibile usare il filtro dei dati.</a:t>
              </a:r>
            </a:p>
          </xdr:txBody>
        </xdr:sp>
      </mc:Fallback>
    </mc:AlternateContent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63500</xdr:colOff>
          <xdr:row>1</xdr:row>
          <xdr:rowOff>114300</xdr:rowOff>
        </xdr:from>
        <xdr:to>
          <xdr:col>13</xdr:col>
          <xdr:colOff>850900</xdr:colOff>
          <xdr:row>3</xdr:row>
          <xdr:rowOff>203200</xdr:rowOff>
        </xdr:to>
        <xdr:sp macro="" textlink="">
          <xdr:nvSpPr>
            <xdr:cNvPr id="6145" name="Spinner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E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0</xdr:col>
      <xdr:colOff>19050</xdr:colOff>
      <xdr:row>48</xdr:row>
      <xdr:rowOff>38100</xdr:rowOff>
    </xdr:from>
    <xdr:to>
      <xdr:col>2</xdr:col>
      <xdr:colOff>1638300</xdr:colOff>
      <xdr:row>66</xdr:row>
      <xdr:rowOff>127000</xdr:rowOff>
    </xdr:to>
    <xdr:graphicFrame macro="">
      <xdr:nvGraphicFramePr>
        <xdr:cNvPr id="29" name="Grafico 28">
          <a:extLst>
            <a:ext uri="{FF2B5EF4-FFF2-40B4-BE49-F238E27FC236}">
              <a16:creationId xmlns:a16="http://schemas.microsoft.com/office/drawing/2014/main" id="{C3C28988-E23C-994A-8502-887B4665CC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6350</xdr:colOff>
      <xdr:row>48</xdr:row>
      <xdr:rowOff>12700</xdr:rowOff>
    </xdr:from>
    <xdr:to>
      <xdr:col>13</xdr:col>
      <xdr:colOff>0</xdr:colOff>
      <xdr:row>66</xdr:row>
      <xdr:rowOff>139700</xdr:rowOff>
    </xdr:to>
    <xdr:graphicFrame macro="">
      <xdr:nvGraphicFramePr>
        <xdr:cNvPr id="30" name="Grafico 29">
          <a:extLst>
            <a:ext uri="{FF2B5EF4-FFF2-40B4-BE49-F238E27FC236}">
              <a16:creationId xmlns:a16="http://schemas.microsoft.com/office/drawing/2014/main" id="{D8FC9601-70B7-AA43-86CB-16AC1BA1E5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71</xdr:row>
      <xdr:rowOff>304800</xdr:rowOff>
    </xdr:from>
    <xdr:to>
      <xdr:col>2</xdr:col>
      <xdr:colOff>1612900</xdr:colOff>
      <xdr:row>91</xdr:row>
      <xdr:rowOff>0</xdr:rowOff>
    </xdr:to>
    <xdr:graphicFrame macro="">
      <xdr:nvGraphicFramePr>
        <xdr:cNvPr id="31" name="Grafico 30">
          <a:extLst>
            <a:ext uri="{FF2B5EF4-FFF2-40B4-BE49-F238E27FC236}">
              <a16:creationId xmlns:a16="http://schemas.microsoft.com/office/drawing/2014/main" id="{530226E6-DDEC-D744-B1EA-4CE2333BC7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6350</xdr:colOff>
      <xdr:row>72</xdr:row>
      <xdr:rowOff>88900</xdr:rowOff>
    </xdr:from>
    <xdr:to>
      <xdr:col>13</xdr:col>
      <xdr:colOff>12700</xdr:colOff>
      <xdr:row>90</xdr:row>
      <xdr:rowOff>127000</xdr:rowOff>
    </xdr:to>
    <xdr:graphicFrame macro="">
      <xdr:nvGraphicFramePr>
        <xdr:cNvPr id="32" name="Grafico 31">
          <a:extLst>
            <a:ext uri="{FF2B5EF4-FFF2-40B4-BE49-F238E27FC236}">
              <a16:creationId xmlns:a16="http://schemas.microsoft.com/office/drawing/2014/main" id="{1EE16A81-E52A-F046-8AAE-37E1587394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94</xdr:row>
      <xdr:rowOff>50800</xdr:rowOff>
    </xdr:from>
    <xdr:to>
      <xdr:col>2</xdr:col>
      <xdr:colOff>1651000</xdr:colOff>
      <xdr:row>112</xdr:row>
      <xdr:rowOff>139700</xdr:rowOff>
    </xdr:to>
    <xdr:graphicFrame macro="">
      <xdr:nvGraphicFramePr>
        <xdr:cNvPr id="33" name="Grafico 32">
          <a:extLst>
            <a:ext uri="{FF2B5EF4-FFF2-40B4-BE49-F238E27FC236}">
              <a16:creationId xmlns:a16="http://schemas.microsoft.com/office/drawing/2014/main" id="{5DE279BF-3253-DD4D-A9D9-63EBBF622A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577850</xdr:colOff>
      <xdr:row>93</xdr:row>
      <xdr:rowOff>304800</xdr:rowOff>
    </xdr:from>
    <xdr:to>
      <xdr:col>12</xdr:col>
      <xdr:colOff>2146300</xdr:colOff>
      <xdr:row>112</xdr:row>
      <xdr:rowOff>127000</xdr:rowOff>
    </xdr:to>
    <xdr:graphicFrame macro="">
      <xdr:nvGraphicFramePr>
        <xdr:cNvPr id="34" name="Grafico 33">
          <a:extLst>
            <a:ext uri="{FF2B5EF4-FFF2-40B4-BE49-F238E27FC236}">
              <a16:creationId xmlns:a16="http://schemas.microsoft.com/office/drawing/2014/main" id="{2B78B32A-2FBA-0048-A868-904009F601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118</xdr:row>
      <xdr:rowOff>50800</xdr:rowOff>
    </xdr:from>
    <xdr:to>
      <xdr:col>2</xdr:col>
      <xdr:colOff>1612900</xdr:colOff>
      <xdr:row>136</xdr:row>
      <xdr:rowOff>127000</xdr:rowOff>
    </xdr:to>
    <xdr:graphicFrame macro="">
      <xdr:nvGraphicFramePr>
        <xdr:cNvPr id="35" name="Grafico 34">
          <a:extLst>
            <a:ext uri="{FF2B5EF4-FFF2-40B4-BE49-F238E27FC236}">
              <a16:creationId xmlns:a16="http://schemas.microsoft.com/office/drawing/2014/main" id="{DBE2DDDA-C1C9-194A-8EE2-ABCE564C0C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577850</xdr:colOff>
      <xdr:row>118</xdr:row>
      <xdr:rowOff>25400</xdr:rowOff>
    </xdr:from>
    <xdr:to>
      <xdr:col>12</xdr:col>
      <xdr:colOff>2108200</xdr:colOff>
      <xdr:row>136</xdr:row>
      <xdr:rowOff>127000</xdr:rowOff>
    </xdr:to>
    <xdr:graphicFrame macro="">
      <xdr:nvGraphicFramePr>
        <xdr:cNvPr id="36" name="Grafico 35">
          <a:extLst>
            <a:ext uri="{FF2B5EF4-FFF2-40B4-BE49-F238E27FC236}">
              <a16:creationId xmlns:a16="http://schemas.microsoft.com/office/drawing/2014/main" id="{8568C3F6-E29D-614E-939F-7D5D4C6233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142</xdr:row>
      <xdr:rowOff>12700</xdr:rowOff>
    </xdr:from>
    <xdr:to>
      <xdr:col>2</xdr:col>
      <xdr:colOff>1625600</xdr:colOff>
      <xdr:row>160</xdr:row>
      <xdr:rowOff>139700</xdr:rowOff>
    </xdr:to>
    <xdr:graphicFrame macro="">
      <xdr:nvGraphicFramePr>
        <xdr:cNvPr id="37" name="Grafico 36">
          <a:extLst>
            <a:ext uri="{FF2B5EF4-FFF2-40B4-BE49-F238E27FC236}">
              <a16:creationId xmlns:a16="http://schemas.microsoft.com/office/drawing/2014/main" id="{FBE41882-0880-0448-ADD1-48115C0719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389783</xdr:colOff>
      <xdr:row>26</xdr:row>
      <xdr:rowOff>53662</xdr:rowOff>
    </xdr:from>
    <xdr:to>
      <xdr:col>17</xdr:col>
      <xdr:colOff>97683</xdr:colOff>
      <xdr:row>30</xdr:row>
      <xdr:rowOff>142560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E3A1A02B-6668-9B44-AE14-6F1F7E9E227C}"/>
            </a:ext>
          </a:extLst>
        </xdr:cNvPr>
        <xdr:cNvGrpSpPr>
          <a:grpSpLocks/>
        </xdr:cNvGrpSpPr>
      </xdr:nvGrpSpPr>
      <xdr:grpSpPr bwMode="auto">
        <a:xfrm>
          <a:off x="19919561" y="5839218"/>
          <a:ext cx="4943122" cy="949675"/>
          <a:chOff x="231" y="-36"/>
          <a:chExt cx="201" cy="71"/>
        </a:xfrm>
      </xdr:grpSpPr>
      <xdr:sp macro="" textlink="">
        <xdr:nvSpPr>
          <xdr:cNvPr id="3" name="Text Box 2">
            <a:extLst>
              <a:ext uri="{FF2B5EF4-FFF2-40B4-BE49-F238E27FC236}">
                <a16:creationId xmlns:a16="http://schemas.microsoft.com/office/drawing/2014/main" id="{C58EE933-B489-F245-ACF2-918D2AD7412B}"/>
              </a:ext>
            </a:extLst>
          </xdr:cNvPr>
          <xdr:cNvSpPr txBox="1">
            <a:spLocks noChangeArrowheads="1"/>
          </xdr:cNvSpPr>
        </xdr:nvSpPr>
        <xdr:spPr bwMode="auto">
          <a:xfrm>
            <a:off x="231" y="-36"/>
            <a:ext cx="201" cy="71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45720" tIns="32004" rIns="45720" bIns="0" anchor="t" upright="1"/>
          <a:lstStyle/>
          <a:p>
            <a:pPr algn="ctr" rtl="0">
              <a:defRPr sz="1000"/>
            </a:pPr>
            <a:r>
              <a:rPr lang="it-IT" sz="2400" b="0" i="0" u="none" strike="noStrike" baseline="0">
                <a:solidFill>
                  <a:srgbClr val="000000"/>
                </a:solidFill>
                <a:latin typeface="Verdana" pitchFamily="2" charset="0"/>
                <a:ea typeface="Verdana" pitchFamily="2" charset="0"/>
                <a:cs typeface="Verdana" pitchFamily="2" charset="0"/>
              </a:rPr>
              <a:t>P=DIV*(1+g)</a:t>
            </a:r>
          </a:p>
          <a:p>
            <a:pPr algn="ctr" rtl="0">
              <a:lnSpc>
                <a:spcPts val="2800"/>
              </a:lnSpc>
              <a:defRPr sz="1000"/>
            </a:pPr>
            <a:r>
              <a:rPr lang="it-IT" sz="2400" b="0" i="0" u="none" strike="noStrike" baseline="0">
                <a:solidFill>
                  <a:srgbClr val="000000"/>
                </a:solidFill>
                <a:latin typeface="Verdana" pitchFamily="2" charset="0"/>
                <a:ea typeface="Verdana" pitchFamily="2" charset="0"/>
                <a:cs typeface="Verdana" pitchFamily="2" charset="0"/>
              </a:rPr>
              <a:t>r-g</a:t>
            </a:r>
          </a:p>
        </xdr:txBody>
      </xdr:sp>
      <xdr:sp macro="" textlink="">
        <xdr:nvSpPr>
          <xdr:cNvPr id="4" name="Line 3">
            <a:extLst>
              <a:ext uri="{FF2B5EF4-FFF2-40B4-BE49-F238E27FC236}">
                <a16:creationId xmlns:a16="http://schemas.microsoft.com/office/drawing/2014/main" id="{409E4ECF-6D62-B34C-8EFD-0D47A3EF594E}"/>
              </a:ext>
            </a:extLst>
          </xdr:cNvPr>
          <xdr:cNvSpPr>
            <a:spLocks noChangeShapeType="1"/>
          </xdr:cNvSpPr>
        </xdr:nvSpPr>
        <xdr:spPr bwMode="auto">
          <a:xfrm>
            <a:off x="250" y="-2"/>
            <a:ext cx="159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FiltroDati_TIPO" xr10:uid="{EB12214D-2E09-BB42-BF35-7A78EE41BFFA}" sourceName="TIPO">
  <extLst>
    <x:ext xmlns:x15="http://schemas.microsoft.com/office/spreadsheetml/2010/11/main" uri="{2F2917AC-EB37-4324-AD4E-5DD8C200BD13}">
      <x15:tableSlicerCache tableId="1" column="1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FiltroDati_INDICATORE" xr10:uid="{CF24847A-1686-2342-97B7-9B5F6F0214D5}" sourceName="INDICATORE">
  <extLst>
    <x:ext xmlns:x15="http://schemas.microsoft.com/office/spreadsheetml/2010/11/main" uri="{2F2917AC-EB37-4324-AD4E-5DD8C200BD13}">
      <x15:tableSlicerCache tableId="1" column="4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FiltroDati_TIPO1" xr10:uid="{9FC63D16-EA6D-6847-B504-FE8BC5388234}" sourceName="TIPO">
  <extLst>
    <x:ext xmlns:x15="http://schemas.microsoft.com/office/spreadsheetml/2010/11/main" uri="{2F2917AC-EB37-4324-AD4E-5DD8C200BD13}">
      <x15:tableSlicerCache tableId="2" column="1"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FiltroDati_INDICATORE1" xr10:uid="{6BC82463-B5B0-5F45-B0C5-D38311C2982F}" sourceName="INDICATORE">
  <extLst>
    <x:ext xmlns:x15="http://schemas.microsoft.com/office/spreadsheetml/2010/11/main" uri="{2F2917AC-EB37-4324-AD4E-5DD8C200BD13}">
      <x15:tableSlicerCache tableId="2" column="4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" xr10:uid="{0525BE3B-C416-454C-9D9F-1224E7871DA4}" cache="FiltroDati_TIPO" caption="TIPO" columnCount="2" rowHeight="209550"/>
  <slicer name="INDICATORE" xr10:uid="{DEE7019C-7398-634E-887F-1E15547D1510}" cache="FiltroDati_INDICATORE" caption="INDICATORE" columnCount="8" rowHeight="2095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1" xr10:uid="{20022444-91EE-414D-A99A-0161F0BAEF24}" cache="FiltroDati_TIPO1" caption="TIPO" columnCount="2" rowHeight="209550"/>
  <slicer name="INDICATORE 1" xr10:uid="{79F6A63E-F903-5B4E-8E76-A4C9FE6CD3C6}" cache="FiltroDati_INDICATORE1" caption="INDICATORE" columnCount="8" rowHeight="2095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E2B18EF-6698-FF44-BC19-508156B7F574}" name="Tabella2" displayName="Tabella2" ref="A23:L56" totalsRowShown="0" headerRowDxfId="33" dataDxfId="32" tableBorderDxfId="31">
  <autoFilter ref="A23:L56" xr:uid="{AE2B18EF-6698-FF44-BC19-508156B7F574}"/>
  <tableColumns count="12">
    <tableColumn id="1" xr3:uid="{665224B9-5C76-0F48-9E73-181DDDB24620}" name="TIPO" dataDxfId="30"/>
    <tableColumn id="2" xr3:uid="{DE1A8FC7-CD47-DF42-B343-FB45F5C14223}" name="DECRIZIONE" dataDxfId="29"/>
    <tableColumn id="3" xr3:uid="{BF182B7D-648F-D745-AE3A-DE6ADF7C9ABA}" name="FORMULA" dataDxfId="28"/>
    <tableColumn id="4" xr3:uid="{DD688031-A78C-8945-8754-84539E461AE2}" name="INDICATORE" dataDxfId="27"/>
    <tableColumn id="5" xr3:uid="{3A8C8030-5CAB-CE41-AB69-DBCC52197FDB}" name="X-1" dataDxfId="26"/>
    <tableColumn id="6" xr3:uid="{5B1598FD-663C-E74E-BE7A-5D8F5DE8525F}" name="X" dataDxfId="25"/>
    <tableColumn id="7" xr3:uid="{1D464803-F3D1-0F4B-9A24-EFD0B1A5512B}" name="X+1" dataDxfId="24"/>
    <tableColumn id="8" xr3:uid="{CD319548-8959-594D-99E8-4FC639FBA062}" name="X+2" dataDxfId="23"/>
    <tableColumn id="9" xr3:uid="{F58E75F1-ECC8-8346-804F-F5A60C860CB9}" name="X+3" dataDxfId="22"/>
    <tableColumn id="10" xr3:uid="{48EC8E09-284E-8043-BB4F-ABD623345E1F}" name="X+4" dataDxfId="21"/>
    <tableColumn id="11" xr3:uid="{31FFA5CA-727D-E543-87CE-0284AA17F5C1}" name="X+5" dataDxfId="20"/>
    <tableColumn id="12" xr3:uid="{0C952C15-1939-E248-984E-93F0945F3F1D}" name="X+6" dataDxfId="19"/>
  </tableColumns>
  <tableStyleInfo name="TableStyleMedium2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CFE04BA-7787-0D44-81AA-F956F3ECAEB9}" name="Tabella23" displayName="Tabella23" ref="A23:P43" totalsRowShown="0" headerRowDxfId="18" dataDxfId="17" tableBorderDxfId="16">
  <autoFilter ref="A23:P43" xr:uid="{AE2B18EF-6698-FF44-BC19-508156B7F574}"/>
  <tableColumns count="16">
    <tableColumn id="1" xr3:uid="{C835AE96-950E-DD4B-914A-64DFD258A705}" name="TIPO" dataDxfId="15"/>
    <tableColumn id="2" xr3:uid="{A0134F92-B489-3249-9EDA-08A30FDCB1B2}" name="DESCRIZIONE" dataDxfId="14"/>
    <tableColumn id="3" xr3:uid="{7B5E024A-C875-1E4C-A7F3-C03EF1DB68EC}" name="FORMULA" dataDxfId="13"/>
    <tableColumn id="4" xr3:uid="{490ED6A3-2790-0D46-8667-8509310CDE41}" name="INDICATORE" dataDxfId="12"/>
    <tableColumn id="5" xr3:uid="{D7C7A7B3-E37A-3449-A57D-BDA5B5734628}" name="gen" dataDxfId="11"/>
    <tableColumn id="6" xr3:uid="{25528CCF-1274-B544-81B8-4CDEAA052A73}" name="feb" dataDxfId="10"/>
    <tableColumn id="7" xr3:uid="{71DE1C61-CCBF-6247-8C59-71D036D9862F}" name="mar" dataDxfId="9"/>
    <tableColumn id="8" xr3:uid="{51D8706B-F25C-B248-80E2-F089373CFCFC}" name="apr" dataDxfId="8"/>
    <tableColumn id="9" xr3:uid="{45489CEC-1F9C-2043-B1D7-57E261B147B5}" name="mag" dataDxfId="7"/>
    <tableColumn id="10" xr3:uid="{367CE728-87CD-D14D-B020-23C1DA8037DE}" name="giu" dataDxfId="6"/>
    <tableColumn id="11" xr3:uid="{749D6C95-970F-F54C-B0E6-03075EF60220}" name="lug" dataDxfId="5"/>
    <tableColumn id="12" xr3:uid="{8F154B26-8F8C-F542-8AC3-D1D00E91CA30}" name="ago" dataDxfId="4"/>
    <tableColumn id="13" xr3:uid="{5677CC42-BC44-1849-A10E-10BBD879B33F}" name="set" dataDxfId="3" dataCellStyle="Migliaia"/>
    <tableColumn id="14" xr3:uid="{EDBF8256-B7D5-5143-A1DB-950221B62F51}" name="ott" dataDxfId="2" dataCellStyle="Migliaia"/>
    <tableColumn id="15" xr3:uid="{2BAF00BD-A228-044C-84F9-A6314904EA5B}" name="nov" dataDxfId="1" dataCellStyle="Migliaia"/>
    <tableColumn id="16" xr3:uid="{DAE2C8EC-101B-D241-8B2F-17D1F03A6DB1}" name="dic" dataDxfId="0" dataCellStyle="Migliaia"/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4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1.xml"/><Relationship Id="rId1" Type="http://schemas.openxmlformats.org/officeDocument/2006/relationships/drawing" Target="../drawings/drawing5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6.xml"/><Relationship Id="rId5" Type="http://schemas.microsoft.com/office/2007/relationships/slicer" Target="../slicers/slicer2.xml"/><Relationship Id="rId4" Type="http://schemas.openxmlformats.org/officeDocument/2006/relationships/table" Target="../tables/table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3FDD0-0987-B146-9455-41874C62D4C5}">
  <dimension ref="A2:I60"/>
  <sheetViews>
    <sheetView showGridLines="0" workbookViewId="0">
      <selection activeCell="G9" sqref="G9"/>
    </sheetView>
  </sheetViews>
  <sheetFormatPr baseColWidth="10" defaultRowHeight="18"/>
  <cols>
    <col min="1" max="1" width="4.5" style="454" customWidth="1"/>
    <col min="2" max="2" width="42.33203125" style="454" customWidth="1"/>
    <col min="3" max="3" width="18.5" customWidth="1"/>
    <col min="4" max="6" width="18.33203125" bestFit="1" customWidth="1"/>
    <col min="7" max="7" width="17" bestFit="1" customWidth="1"/>
    <col min="8" max="8" width="17" customWidth="1"/>
  </cols>
  <sheetData>
    <row r="2" spans="1:9" ht="28">
      <c r="B2" s="728" t="s">
        <v>649</v>
      </c>
      <c r="C2" s="728"/>
      <c r="D2" s="728"/>
      <c r="E2" s="728"/>
      <c r="F2" s="728"/>
      <c r="G2" s="728"/>
      <c r="H2" s="728"/>
      <c r="I2" s="728"/>
    </row>
    <row r="4" spans="1:9">
      <c r="A4" s="454">
        <v>1</v>
      </c>
      <c r="B4" s="663" t="s">
        <v>659</v>
      </c>
      <c r="D4" s="454">
        <v>9</v>
      </c>
      <c r="E4" s="663" t="s">
        <v>610</v>
      </c>
    </row>
    <row r="5" spans="1:9">
      <c r="A5" s="454">
        <v>2</v>
      </c>
      <c r="B5" s="663" t="s">
        <v>607</v>
      </c>
      <c r="D5" s="454">
        <v>10</v>
      </c>
      <c r="E5" s="663" t="s">
        <v>661</v>
      </c>
    </row>
    <row r="6" spans="1:9">
      <c r="A6" s="454">
        <v>3</v>
      </c>
      <c r="B6" s="663" t="s">
        <v>609</v>
      </c>
      <c r="D6" s="454">
        <v>11</v>
      </c>
      <c r="E6" s="663" t="s">
        <v>662</v>
      </c>
    </row>
    <row r="7" spans="1:9">
      <c r="A7" s="454">
        <v>4</v>
      </c>
      <c r="B7" s="663" t="s">
        <v>660</v>
      </c>
      <c r="D7" s="454">
        <v>12</v>
      </c>
      <c r="E7" s="663" t="s">
        <v>663</v>
      </c>
    </row>
    <row r="8" spans="1:9">
      <c r="A8" s="454">
        <v>5</v>
      </c>
      <c r="B8" s="663" t="s">
        <v>611</v>
      </c>
      <c r="D8" s="454">
        <v>13</v>
      </c>
      <c r="E8" s="663" t="s">
        <v>663</v>
      </c>
      <c r="G8" s="663"/>
    </row>
    <row r="9" spans="1:9">
      <c r="A9" s="454">
        <v>6</v>
      </c>
      <c r="B9" s="663" t="s">
        <v>613</v>
      </c>
      <c r="D9" s="454">
        <v>14</v>
      </c>
      <c r="E9" s="663" t="s">
        <v>664</v>
      </c>
    </row>
    <row r="10" spans="1:9">
      <c r="A10" s="454">
        <v>7</v>
      </c>
      <c r="B10" s="663" t="s">
        <v>612</v>
      </c>
      <c r="D10" s="454">
        <v>15</v>
      </c>
      <c r="E10" s="663" t="s">
        <v>665</v>
      </c>
    </row>
    <row r="11" spans="1:9">
      <c r="A11" s="454">
        <v>8</v>
      </c>
      <c r="B11" s="663" t="s">
        <v>608</v>
      </c>
      <c r="D11" s="454">
        <v>16</v>
      </c>
      <c r="E11" s="663" t="s">
        <v>666</v>
      </c>
      <c r="G11" s="663"/>
    </row>
    <row r="12" spans="1:9">
      <c r="G12" s="663"/>
    </row>
    <row r="15" spans="1:9" ht="19" thickBot="1">
      <c r="B15"/>
    </row>
    <row r="16" spans="1:9" ht="19" thickBot="1">
      <c r="B16"/>
      <c r="C16" s="664" t="s">
        <v>650</v>
      </c>
      <c r="D16" s="664" t="s">
        <v>651</v>
      </c>
      <c r="E16" s="664" t="s">
        <v>652</v>
      </c>
      <c r="F16" s="664"/>
      <c r="G16" s="664"/>
      <c r="H16" s="664"/>
    </row>
    <row r="17" spans="2:8">
      <c r="B17" s="670" t="s">
        <v>177</v>
      </c>
      <c r="C17" s="669">
        <f>+'conto economico va'!H14</f>
        <v>5207538</v>
      </c>
      <c r="D17" s="669">
        <f>+'conto economico va'!E14</f>
        <v>5554067</v>
      </c>
      <c r="E17" s="669">
        <f>+'conto economico va'!B14</f>
        <v>5946826</v>
      </c>
      <c r="F17" s="355"/>
      <c r="G17" s="355"/>
      <c r="H17" s="355"/>
    </row>
    <row r="18" spans="2:8">
      <c r="B18" s="595"/>
    </row>
    <row r="19" spans="2:8">
      <c r="B19" s="595"/>
    </row>
    <row r="20" spans="2:8" ht="19" thickBot="1">
      <c r="B20" s="595"/>
    </row>
    <row r="21" spans="2:8" ht="19" thickBot="1">
      <c r="B21" s="595"/>
      <c r="C21" s="664" t="s">
        <v>650</v>
      </c>
      <c r="D21" s="664" t="s">
        <v>651</v>
      </c>
      <c r="E21" s="664" t="s">
        <v>652</v>
      </c>
      <c r="F21" s="664"/>
      <c r="G21" s="664"/>
      <c r="H21" s="664"/>
    </row>
    <row r="22" spans="2:8">
      <c r="B22" s="670" t="s">
        <v>648</v>
      </c>
      <c r="C22" s="355">
        <f>+'conto economico va'!H61</f>
        <v>483743</v>
      </c>
      <c r="D22" s="355">
        <f>+'conto economico va'!E61</f>
        <v>405460</v>
      </c>
      <c r="E22" s="355">
        <f>+'conto economico va'!B61</f>
        <v>429643</v>
      </c>
      <c r="F22" s="355"/>
      <c r="G22" s="355"/>
      <c r="H22" s="355"/>
    </row>
    <row r="23" spans="2:8" ht="19" thickBot="1">
      <c r="B23" s="595"/>
    </row>
    <row r="24" spans="2:8" ht="19" thickBot="1">
      <c r="B24" s="595"/>
      <c r="C24" s="664" t="s">
        <v>650</v>
      </c>
      <c r="D24" s="664" t="s">
        <v>651</v>
      </c>
      <c r="E24" s="664" t="s">
        <v>652</v>
      </c>
      <c r="F24" s="664"/>
      <c r="G24" s="664"/>
      <c r="H24" s="664"/>
    </row>
    <row r="25" spans="2:8">
      <c r="B25" s="670" t="s">
        <v>149</v>
      </c>
      <c r="C25" s="665">
        <f>+'Stato patrimoniale'!B79</f>
        <v>2.7521329573388636E-2</v>
      </c>
      <c r="D25" s="665">
        <f>+'Stato patrimoniale'!C79</f>
        <v>4.9912711110246593E-3</v>
      </c>
      <c r="E25" s="665">
        <f>+'Stato patrimoniale'!D79</f>
        <v>1.9024734885848178E-2</v>
      </c>
      <c r="F25" s="665"/>
      <c r="G25" s="665"/>
      <c r="H25" s="665"/>
    </row>
    <row r="26" spans="2:8">
      <c r="B26" s="670" t="s">
        <v>150</v>
      </c>
      <c r="C26" s="665">
        <f>+'Stato patrimoniale'!B80</f>
        <v>3.6648315231459075E-2</v>
      </c>
      <c r="D26" s="665">
        <f>+'Stato patrimoniale'!C80</f>
        <v>1.9493463433923415E-3</v>
      </c>
      <c r="E26" s="665">
        <f>+'Stato patrimoniale'!D80</f>
        <v>7.8685886691250411E-3</v>
      </c>
      <c r="F26" s="665"/>
      <c r="G26" s="665"/>
      <c r="H26" s="665"/>
    </row>
    <row r="27" spans="2:8">
      <c r="B27" s="670" t="s">
        <v>178</v>
      </c>
      <c r="C27" s="665">
        <f>+'Stato patrimoniale'!B81</f>
        <v>3.1876675695885467E-2</v>
      </c>
      <c r="D27" s="665">
        <f>+'Stato patrimoniale'!C81</f>
        <v>5.5440454715436453E-3</v>
      </c>
      <c r="E27" s="665">
        <f>+'Stato patrimoniale'!D81</f>
        <v>1.9683441217214024E-2</v>
      </c>
      <c r="F27" s="665"/>
      <c r="G27" s="665"/>
      <c r="H27" s="665"/>
    </row>
    <row r="28" spans="2:8">
      <c r="B28" s="595"/>
    </row>
    <row r="29" spans="2:8" ht="19" thickBot="1">
      <c r="B29" s="595"/>
    </row>
    <row r="30" spans="2:8" ht="19" thickBot="1">
      <c r="B30" s="595"/>
      <c r="C30" s="664" t="s">
        <v>650</v>
      </c>
      <c r="D30" s="664" t="s">
        <v>651</v>
      </c>
      <c r="E30" s="664" t="s">
        <v>652</v>
      </c>
      <c r="F30" s="664"/>
      <c r="G30" s="664"/>
      <c r="H30" s="664"/>
    </row>
    <row r="31" spans="2:8">
      <c r="B31" s="671" t="s">
        <v>630</v>
      </c>
      <c r="C31" s="666">
        <f>+indici!E44</f>
        <v>0.4284962536778914</v>
      </c>
      <c r="D31" s="666">
        <f>+indici!F44</f>
        <v>0.41976246399434608</v>
      </c>
      <c r="E31" s="666">
        <f>+indici!G44</f>
        <v>0.4242224626576151</v>
      </c>
      <c r="F31" s="666"/>
      <c r="G31" s="666"/>
      <c r="H31" s="666"/>
    </row>
    <row r="32" spans="2:8">
      <c r="B32" s="671" t="s">
        <v>632</v>
      </c>
      <c r="C32" s="355">
        <f>+indici!E45</f>
        <v>1.3337426906693999</v>
      </c>
      <c r="D32" s="355">
        <f>+indici!F45</f>
        <v>1.3822997189512145</v>
      </c>
      <c r="E32" s="355">
        <f>+indici!G45</f>
        <v>1.3572537713711028</v>
      </c>
      <c r="F32" s="355"/>
      <c r="G32" s="355"/>
      <c r="H32" s="355"/>
    </row>
    <row r="33" spans="2:8">
      <c r="B33" s="671" t="s">
        <v>633</v>
      </c>
      <c r="C33" s="666">
        <f>+indici!E46</f>
        <v>0.56615202321120428</v>
      </c>
      <c r="D33" s="666">
        <f>+indici!F46</f>
        <v>0.62707476141039231</v>
      </c>
      <c r="E33" s="666">
        <f>+indici!G46</f>
        <v>0.80668031731379741</v>
      </c>
      <c r="F33" s="666"/>
      <c r="G33" s="666"/>
      <c r="H33" s="666"/>
    </row>
    <row r="34" spans="2:8">
      <c r="B34" s="672"/>
    </row>
    <row r="35" spans="2:8">
      <c r="B35" s="595"/>
    </row>
    <row r="36" spans="2:8" ht="19" thickBot="1">
      <c r="B36" s="595"/>
    </row>
    <row r="37" spans="2:8" ht="19" thickBot="1">
      <c r="B37" s="595"/>
      <c r="C37" s="664" t="s">
        <v>650</v>
      </c>
      <c r="D37" s="664" t="s">
        <v>651</v>
      </c>
      <c r="E37" s="664" t="s">
        <v>652</v>
      </c>
      <c r="F37" s="664"/>
      <c r="G37" s="664"/>
      <c r="H37" s="664"/>
    </row>
    <row r="38" spans="2:8">
      <c r="B38" s="673" t="s">
        <v>44</v>
      </c>
      <c r="C38" s="355">
        <f>+indici!E28</f>
        <v>3.548661087049626E-3</v>
      </c>
      <c r="D38" s="355">
        <f>+indici!F28</f>
        <v>4.5644543903758253E-3</v>
      </c>
      <c r="E38" s="355">
        <f>+indici!G28</f>
        <v>1.7034568324203641E-3</v>
      </c>
      <c r="F38" s="666"/>
      <c r="G38" s="666"/>
      <c r="H38" s="666"/>
    </row>
    <row r="39" spans="2:8">
      <c r="B39" s="673" t="s">
        <v>618</v>
      </c>
      <c r="C39" s="355">
        <f>+indici!E29</f>
        <v>0.92925950765305865</v>
      </c>
      <c r="D39" s="355">
        <f>+indici!F29</f>
        <v>0.94427832807308476</v>
      </c>
      <c r="E39" s="355">
        <f>+indici!G29</f>
        <v>0.9530333141913705</v>
      </c>
      <c r="F39" s="666"/>
      <c r="G39" s="666"/>
      <c r="H39" s="666"/>
    </row>
    <row r="40" spans="2:8">
      <c r="B40" s="673" t="s">
        <v>619</v>
      </c>
      <c r="C40" s="355">
        <f>+indici!E30</f>
        <v>1.7536643994075807</v>
      </c>
      <c r="D40" s="355">
        <f>+indici!F30</f>
        <v>1.6915771802473438</v>
      </c>
      <c r="E40" s="355">
        <f>+indici!G30</f>
        <v>1.8026338563761664</v>
      </c>
      <c r="F40" s="666"/>
      <c r="G40" s="666"/>
      <c r="H40" s="666"/>
    </row>
    <row r="41" spans="2:8">
      <c r="B41" s="673" t="s">
        <v>620</v>
      </c>
      <c r="C41" s="355">
        <f>+indici!E32</f>
        <v>1.1511098319867159</v>
      </c>
      <c r="D41" s="355">
        <f>+indici!F32</f>
        <v>1.0925067021940158</v>
      </c>
      <c r="E41" s="355">
        <f>+indici!G32</f>
        <v>1.148130107199915</v>
      </c>
      <c r="F41" s="666"/>
      <c r="G41" s="666"/>
      <c r="H41" s="666"/>
    </row>
    <row r="42" spans="2:8">
      <c r="B42" s="673" t="s">
        <v>621</v>
      </c>
      <c r="C42" s="355">
        <f>+indici!E33</f>
        <v>0.86336887308926635</v>
      </c>
      <c r="D42" s="355">
        <f>+indici!F33</f>
        <v>0.9002940427966809</v>
      </c>
      <c r="E42" s="355">
        <f>+indici!G33</f>
        <v>0.96653500147170512</v>
      </c>
      <c r="F42" s="666"/>
      <c r="G42" s="666"/>
      <c r="H42" s="666"/>
    </row>
    <row r="43" spans="2:8">
      <c r="B43" s="673" t="s">
        <v>622</v>
      </c>
      <c r="C43" s="355">
        <f>+indici!E34</f>
        <v>4.3168400712573911</v>
      </c>
      <c r="D43" s="355">
        <f>+indici!F34</f>
        <v>4.295874185155049</v>
      </c>
      <c r="E43" s="355">
        <f>+indici!G34</f>
        <v>4.3251845548500647</v>
      </c>
      <c r="F43" s="666"/>
      <c r="G43" s="666"/>
      <c r="H43" s="666"/>
    </row>
    <row r="44" spans="2:8">
      <c r="B44" s="673" t="s">
        <v>623</v>
      </c>
      <c r="C44" s="355">
        <f>+indici!E35</f>
        <v>83.394333368282673</v>
      </c>
      <c r="D44" s="355">
        <f>+indici!F35</f>
        <v>83.801336930217076</v>
      </c>
      <c r="E44" s="355">
        <f>+indici!G35</f>
        <v>83.233442512022393</v>
      </c>
      <c r="F44" s="666"/>
      <c r="G44" s="666"/>
      <c r="H44" s="666"/>
    </row>
    <row r="45" spans="2:8">
      <c r="B45" s="673" t="s">
        <v>624</v>
      </c>
      <c r="C45" s="355">
        <f>+indici!E36</f>
        <v>1.741002363902967</v>
      </c>
      <c r="D45" s="355">
        <f>+indici!F36</f>
        <v>1.57294705885765</v>
      </c>
      <c r="E45" s="355">
        <f>+indici!G36</f>
        <v>1.798329795590079</v>
      </c>
      <c r="F45" s="666"/>
      <c r="G45" s="666"/>
      <c r="H45" s="666"/>
    </row>
    <row r="46" spans="2:8">
      <c r="B46" s="673" t="s">
        <v>625</v>
      </c>
      <c r="C46" s="355">
        <f>+indici!E37</f>
        <v>206.77743319828386</v>
      </c>
      <c r="D46" s="355">
        <f>+indici!F37</f>
        <v>228.86974992117621</v>
      </c>
      <c r="E46" s="355">
        <f>+indici!G37</f>
        <v>200.18575062416437</v>
      </c>
      <c r="F46" s="666"/>
      <c r="G46" s="666"/>
      <c r="H46" s="666"/>
    </row>
    <row r="47" spans="2:8">
      <c r="B47" s="673"/>
    </row>
    <row r="48" spans="2:8">
      <c r="B48" s="595"/>
    </row>
    <row r="49" spans="2:8">
      <c r="B49" s="595"/>
    </row>
    <row r="50" spans="2:8">
      <c r="B50" s="595"/>
    </row>
    <row r="51" spans="2:8">
      <c r="B51" s="595"/>
    </row>
    <row r="52" spans="2:8" ht="19" thickBot="1">
      <c r="B52" s="595"/>
    </row>
    <row r="53" spans="2:8" ht="19" thickBot="1">
      <c r="B53" s="595"/>
      <c r="C53" s="664" t="s">
        <v>650</v>
      </c>
      <c r="D53" s="664" t="s">
        <v>651</v>
      </c>
      <c r="E53" s="664" t="s">
        <v>652</v>
      </c>
      <c r="F53" s="664"/>
      <c r="G53" s="664"/>
      <c r="H53" s="664"/>
    </row>
    <row r="54" spans="2:8">
      <c r="B54" s="674" t="s">
        <v>667</v>
      </c>
      <c r="C54" s="667"/>
      <c r="D54" s="667">
        <v>-7.9582196657769222E-2</v>
      </c>
      <c r="E54" s="667">
        <v>-1.5700837136998436E-2</v>
      </c>
      <c r="F54" s="667">
        <v>6.5307509926199936E-2</v>
      </c>
      <c r="G54" s="667">
        <v>0.347383476074969</v>
      </c>
      <c r="H54" s="667">
        <v>-1.610680492672778E-2</v>
      </c>
    </row>
    <row r="55" spans="2:8">
      <c r="B55" s="674" t="s">
        <v>668</v>
      </c>
      <c r="C55" s="667"/>
      <c r="D55" s="667">
        <v>0.89116449163930178</v>
      </c>
      <c r="E55" s="667">
        <v>0.2723936185581366</v>
      </c>
      <c r="F55" s="667">
        <v>0.1093462624354038</v>
      </c>
      <c r="G55" s="667">
        <v>9.0143180164923287E-3</v>
      </c>
      <c r="H55" s="667">
        <v>9.0231238884248555E-3</v>
      </c>
    </row>
    <row r="56" spans="2:8">
      <c r="B56" s="674" t="s">
        <v>669</v>
      </c>
      <c r="C56" s="667"/>
      <c r="D56" s="667">
        <v>-0.49548945441019054</v>
      </c>
      <c r="E56" s="667">
        <v>0.35128179434050266</v>
      </c>
      <c r="F56" s="667">
        <v>0.39926694022584908</v>
      </c>
      <c r="G56" s="667">
        <v>0.16170083674152846</v>
      </c>
      <c r="H56" s="667">
        <v>0.16312111757334447</v>
      </c>
    </row>
    <row r="57" spans="2:8">
      <c r="B57" s="674" t="s">
        <v>670</v>
      </c>
      <c r="C57" s="667"/>
      <c r="D57" s="667">
        <v>-0.13869994352248516</v>
      </c>
      <c r="E57" s="667">
        <v>-6.0632725884449123E-2</v>
      </c>
      <c r="F57" s="667">
        <v>-2.3744957283046264E-2</v>
      </c>
      <c r="G57" s="667">
        <v>0.44607997373551611</v>
      </c>
      <c r="H57" s="667">
        <v>-3.2246207886130307E-2</v>
      </c>
    </row>
    <row r="58" spans="2:8">
      <c r="B58" s="88"/>
    </row>
    <row r="59" spans="2:8">
      <c r="B59"/>
    </row>
    <row r="60" spans="2:8">
      <c r="B60"/>
    </row>
  </sheetData>
  <mergeCells count="1">
    <mergeCell ref="B2:I2"/>
  </mergeCells>
  <hyperlinks>
    <hyperlink ref="B5" location="'conto economico va'!C4" display="CONTO ECONOMICO A VALORE AGGIUNTO" xr:uid="{4BF87EB7-099D-B74F-BABA-B67B28653066}"/>
    <hyperlink ref="B6" location="'conto economico margine '!C4" display="CONTO ECONOMICO A MARGINE DI CONTRIBUZIONE" xr:uid="{BDECA86F-9B44-9A48-A625-4686ED02393C}"/>
    <hyperlink ref="B8" location="'break even'!C4" display="BREAK EVEN" xr:uid="{7DB39B3D-520B-D341-BBD9-DE07DF243A7D}"/>
    <hyperlink ref="B10" location="'stato patrimoniale'!C4" display="STATO PATRIMONIALE" xr:uid="{240CE1B4-FEAD-0444-88C7-6E61EE808E4D}"/>
    <hyperlink ref="B11" location="'rendiconto finanziario'!A1" display="RENDICONTO FINANZIARIO" xr:uid="{EFF86713-F3F7-CB42-9713-02309A9FC7B9}"/>
    <hyperlink ref="B9" location="Pareto!A1" display="PARETO" xr:uid="{9A899293-9213-D74D-B2A5-6CD6E9F9B4B2}"/>
    <hyperlink ref="B4" location="'bilancio cee'!A1" display="BILANCIO CEE" xr:uid="{7E994DAC-9598-7847-A310-F273375FA404}"/>
    <hyperlink ref="B7" location="'Conto economico RI'!A1" display="CONTO ECONOMICO RI" xr:uid="{BB2A67B7-73CE-D349-93BF-0FEEEE564E0B}"/>
    <hyperlink ref="E5" location="'rendiconto OIC'!A1" display="RENDICONTO OIC" xr:uid="{EA501675-88BB-3D47-AF8C-757D3D8D4CA1}"/>
    <hyperlink ref="E6" location="'flussi di ccn'!A1" display="FLUSSI CCN" xr:uid="{4B6D56BF-9AD6-3945-8D52-A467BEFE11A0}"/>
    <hyperlink ref="E8" location="'albero redditività'!A1" display="ALBERO REDDITITIVITA'" xr:uid="{F309DA99-63DF-264C-B043-BD7D88F74866}"/>
    <hyperlink ref="E9" location="indici!A1" display="INDICI" xr:uid="{23841EA0-F8D5-F54A-8993-E6747F8914DC}"/>
    <hyperlink ref="E10" location="'indicatori crisi'!A1" display="INDICI DI CRISI" xr:uid="{37624EBE-5F38-4A4E-A75B-60948D6FF5A1}"/>
    <hyperlink ref="E11" location="valutazione!A1" display="VALUTAZIONE" xr:uid="{F899BA0D-BB17-D047-8AF7-5D1B1A785C1B}"/>
    <hyperlink ref="E4" location="'rendiconto di liquidità'!A1" display="RENDICONTO DI LIQUIDITA'" xr:uid="{7D7AEEBE-C4AF-D143-AF63-7D447264A006}"/>
    <hyperlink ref="E7" location="'albero redditività'!A1" display="ALBERO REDDITITIVITA'" xr:uid="{EAD6C7E1-D09D-2D44-8470-813E318D0790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9"/>
  <sheetViews>
    <sheetView showGridLines="0" topLeftCell="A27" zoomScale="210" zoomScaleNormal="210" workbookViewId="0">
      <selection activeCell="C43" sqref="C43:D43"/>
    </sheetView>
  </sheetViews>
  <sheetFormatPr baseColWidth="10" defaultColWidth="11.5" defaultRowHeight="12"/>
  <cols>
    <col min="1" max="1" width="29.33203125" customWidth="1"/>
    <col min="2" max="2" width="21.6640625" customWidth="1"/>
    <col min="3" max="4" width="11.5" bestFit="1" customWidth="1"/>
    <col min="5" max="5" width="29.33203125" customWidth="1"/>
  </cols>
  <sheetData>
    <row r="1" spans="1:5" ht="18">
      <c r="A1" s="454"/>
      <c r="B1" s="454"/>
    </row>
    <row r="2" spans="1:5" ht="18">
      <c r="A2" s="454">
        <v>1</v>
      </c>
      <c r="B2" s="663" t="s">
        <v>659</v>
      </c>
      <c r="D2" s="454">
        <v>9</v>
      </c>
      <c r="E2" s="663" t="s">
        <v>610</v>
      </c>
    </row>
    <row r="3" spans="1:5" ht="18">
      <c r="A3" s="454">
        <v>2</v>
      </c>
      <c r="B3" s="663" t="s">
        <v>607</v>
      </c>
      <c r="D3" s="454">
        <v>10</v>
      </c>
      <c r="E3" s="663" t="s">
        <v>661</v>
      </c>
    </row>
    <row r="4" spans="1:5" ht="18">
      <c r="A4" s="454">
        <v>3</v>
      </c>
      <c r="B4" s="663" t="s">
        <v>609</v>
      </c>
      <c r="D4" s="454">
        <v>11</v>
      </c>
      <c r="E4" s="663" t="s">
        <v>662</v>
      </c>
    </row>
    <row r="5" spans="1:5" ht="18">
      <c r="A5" s="454">
        <v>4</v>
      </c>
      <c r="B5" s="663" t="s">
        <v>660</v>
      </c>
      <c r="D5" s="454">
        <v>12</v>
      </c>
      <c r="E5" s="663" t="s">
        <v>663</v>
      </c>
    </row>
    <row r="6" spans="1:5" ht="18">
      <c r="A6" s="454">
        <v>5</v>
      </c>
      <c r="B6" s="663" t="s">
        <v>611</v>
      </c>
      <c r="D6" s="454">
        <v>13</v>
      </c>
      <c r="E6" s="663" t="s">
        <v>663</v>
      </c>
    </row>
    <row r="7" spans="1:5" ht="18">
      <c r="A7" s="454">
        <v>6</v>
      </c>
      <c r="B7" s="663" t="s">
        <v>613</v>
      </c>
      <c r="D7" s="454">
        <v>14</v>
      </c>
      <c r="E7" s="663" t="s">
        <v>664</v>
      </c>
    </row>
    <row r="8" spans="1:5" ht="18">
      <c r="A8" s="454">
        <v>7</v>
      </c>
      <c r="B8" s="663" t="s">
        <v>612</v>
      </c>
      <c r="D8" s="454">
        <v>15</v>
      </c>
      <c r="E8" s="663" t="s">
        <v>665</v>
      </c>
    </row>
    <row r="9" spans="1:5" ht="18">
      <c r="A9" s="454">
        <v>8</v>
      </c>
      <c r="B9" s="663" t="s">
        <v>608</v>
      </c>
      <c r="D9" s="454">
        <v>16</v>
      </c>
      <c r="E9" s="663" t="s">
        <v>666</v>
      </c>
    </row>
    <row r="12" spans="1:5" ht="13" thickBot="1"/>
    <row r="13" spans="1:5" ht="19" thickBot="1">
      <c r="B13" s="446" t="s">
        <v>441</v>
      </c>
      <c r="C13" s="352" t="s">
        <v>442</v>
      </c>
      <c r="D13" s="352" t="s">
        <v>443</v>
      </c>
    </row>
    <row r="14" spans="1:5" ht="13">
      <c r="A14" t="s">
        <v>224</v>
      </c>
      <c r="B14" s="100">
        <f>+'conto economico va'!H88</f>
        <v>94719</v>
      </c>
      <c r="C14" s="100">
        <f>+'rendiconto finanziario'!C14</f>
        <v>5048</v>
      </c>
      <c r="D14" s="100">
        <f>+'rendiconto finanziario'!D14</f>
        <v>20538</v>
      </c>
    </row>
    <row r="15" spans="1:5" ht="13">
      <c r="A15" t="s">
        <v>235</v>
      </c>
      <c r="B15" s="100">
        <f>+'conto economico va'!H63</f>
        <v>317744</v>
      </c>
      <c r="C15" s="100">
        <f>+'rendiconto finanziario'!C15</f>
        <v>374668</v>
      </c>
      <c r="D15" s="100">
        <f>+'rendiconto finanziario'!D15</f>
        <v>312589</v>
      </c>
    </row>
    <row r="16" spans="1:5" ht="13">
      <c r="A16" t="s">
        <v>57</v>
      </c>
      <c r="B16" s="100">
        <f>+'conto economico va'!I55/13*0.7</f>
        <v>7553.7538461538461</v>
      </c>
      <c r="C16" s="100">
        <f>+'rendiconto finanziario'!C16</f>
        <v>39166</v>
      </c>
      <c r="D16" s="100">
        <f>+'rendiconto finanziario'!D16</f>
        <v>40649</v>
      </c>
    </row>
    <row r="17" spans="1:4" ht="13">
      <c r="A17" t="s">
        <v>192</v>
      </c>
      <c r="B17" s="100">
        <f>-'conto economico va'!H86</f>
        <v>21876</v>
      </c>
      <c r="C17" s="100">
        <f>+'rendiconto finanziario'!C17</f>
        <v>49105</v>
      </c>
      <c r="D17" s="100">
        <f>+'rendiconto finanziario'!D17</f>
        <v>50046</v>
      </c>
    </row>
    <row r="18" spans="1:4" ht="13">
      <c r="C18" s="100">
        <f>+'rendiconto finanziario'!C18</f>
        <v>0</v>
      </c>
      <c r="D18" s="100">
        <f>+'rendiconto finanziario'!D18</f>
        <v>0</v>
      </c>
    </row>
    <row r="19" spans="1:4" ht="13">
      <c r="A19" s="2" t="s">
        <v>283</v>
      </c>
      <c r="B19" s="100">
        <f>SUM(B14:B18)</f>
        <v>441892.75384615385</v>
      </c>
      <c r="C19" s="100">
        <f>+'rendiconto finanziario'!C19</f>
        <v>467987</v>
      </c>
      <c r="D19" s="100">
        <f>+'rendiconto finanziario'!D19</f>
        <v>423822</v>
      </c>
    </row>
    <row r="22" spans="1:4" ht="13">
      <c r="A22" s="101"/>
    </row>
    <row r="23" spans="1:4">
      <c r="A23" t="s">
        <v>147</v>
      </c>
      <c r="B23" s="44">
        <f>+'rendiconto finanziario'!B23</f>
        <v>0</v>
      </c>
      <c r="C23" s="44">
        <f>+'rendiconto finanziario'!C23</f>
        <v>-153834</v>
      </c>
      <c r="D23" s="44">
        <f>+'rendiconto finanziario'!D23</f>
        <v>-89332</v>
      </c>
    </row>
    <row r="24" spans="1:4">
      <c r="A24" t="s">
        <v>134</v>
      </c>
      <c r="B24" s="44">
        <f>+'rendiconto finanziario'!B24</f>
        <v>0</v>
      </c>
      <c r="C24" s="44">
        <f>+'rendiconto finanziario'!C24</f>
        <v>332888</v>
      </c>
      <c r="D24" s="44">
        <f>+'rendiconto finanziario'!D24</f>
        <v>-201186</v>
      </c>
    </row>
    <row r="25" spans="1:4">
      <c r="A25" t="s">
        <v>183</v>
      </c>
      <c r="B25" s="44">
        <f>+'rendiconto finanziario'!B25</f>
        <v>0</v>
      </c>
      <c r="C25" s="44">
        <f>+'rendiconto finanziario'!C25</f>
        <v>-313848</v>
      </c>
      <c r="D25" s="44">
        <f>+'rendiconto finanziario'!D25</f>
        <v>-15599</v>
      </c>
    </row>
    <row r="26" spans="1:4">
      <c r="A26" t="s">
        <v>181</v>
      </c>
      <c r="B26" s="44">
        <f>+'rendiconto finanziario'!B26</f>
        <v>0</v>
      </c>
      <c r="C26" s="44">
        <f>+'rendiconto finanziario'!C26</f>
        <v>-152156</v>
      </c>
      <c r="D26" s="44">
        <f>+'rendiconto finanziario'!D26</f>
        <v>-13463</v>
      </c>
    </row>
    <row r="27" spans="1:4" ht="13">
      <c r="C27" s="100"/>
      <c r="D27" s="100"/>
    </row>
    <row r="28" spans="1:4" ht="13">
      <c r="A28" s="2" t="s">
        <v>144</v>
      </c>
      <c r="B28" s="100">
        <f>SUM(B23:B27)</f>
        <v>0</v>
      </c>
      <c r="C28" s="100">
        <f>+'rendiconto finanziario'!C28</f>
        <v>-286950</v>
      </c>
      <c r="D28" s="100">
        <f>+'rendiconto finanziario'!D28</f>
        <v>-319580</v>
      </c>
    </row>
    <row r="29" spans="1:4" ht="13">
      <c r="C29" s="100"/>
      <c r="D29" s="100"/>
    </row>
    <row r="30" spans="1:4" ht="13">
      <c r="A30" s="17" t="s">
        <v>288</v>
      </c>
      <c r="B30" s="102">
        <f>+B19+B28</f>
        <v>441892.75384615385</v>
      </c>
      <c r="C30" s="102">
        <f>+'rendiconto finanziario'!C30</f>
        <v>181037</v>
      </c>
      <c r="D30" s="102">
        <f>+'rendiconto finanziario'!D30</f>
        <v>104242</v>
      </c>
    </row>
    <row r="33" spans="1:5">
      <c r="A33" t="s">
        <v>233</v>
      </c>
      <c r="B33" s="44">
        <f>+'rendiconto finanziario'!B33</f>
        <v>0</v>
      </c>
      <c r="C33" s="44">
        <f>+'rendiconto finanziario'!C33</f>
        <v>-259516</v>
      </c>
      <c r="D33" s="44">
        <f>+'rendiconto finanziario'!D33</f>
        <v>-65545</v>
      </c>
    </row>
    <row r="34" spans="1:5">
      <c r="A34" t="s">
        <v>242</v>
      </c>
      <c r="B34" s="44">
        <f>+'rendiconto finanziario'!B34</f>
        <v>0</v>
      </c>
      <c r="C34" s="44">
        <f>+'rendiconto finanziario'!C34</f>
        <v>-28843</v>
      </c>
      <c r="D34" s="44">
        <f>+'rendiconto finanziario'!D34</f>
        <v>-11249</v>
      </c>
    </row>
    <row r="35" spans="1:5">
      <c r="A35" t="s">
        <v>248</v>
      </c>
      <c r="B35" s="44">
        <f>+'rendiconto finanziario'!B35</f>
        <v>0</v>
      </c>
      <c r="C35" s="44">
        <f>+'rendiconto finanziario'!C35</f>
        <v>-4264</v>
      </c>
      <c r="D35" s="44">
        <f>+'rendiconto finanziario'!D35</f>
        <v>-4318</v>
      </c>
    </row>
    <row r="36" spans="1:5">
      <c r="A36" t="s">
        <v>197</v>
      </c>
      <c r="B36" s="44">
        <f>+'rendiconto finanziario'!B36</f>
        <v>0</v>
      </c>
      <c r="C36" s="44">
        <f>+'rendiconto finanziario'!C36</f>
        <v>-1</v>
      </c>
      <c r="D36" s="44">
        <f>+'rendiconto finanziario'!D36</f>
        <v>1</v>
      </c>
    </row>
    <row r="37" spans="1:5">
      <c r="A37" t="s">
        <v>204</v>
      </c>
      <c r="B37" s="44">
        <f>+'rendiconto finanziario'!B37</f>
        <v>0</v>
      </c>
      <c r="C37" s="44">
        <f>+'rendiconto finanziario'!C37</f>
        <v>-13589</v>
      </c>
      <c r="D37" s="44">
        <f>+'rendiconto finanziario'!D37</f>
        <v>-1465</v>
      </c>
    </row>
    <row r="38" spans="1:5" ht="13">
      <c r="A38" t="s">
        <v>94</v>
      </c>
      <c r="B38" s="100">
        <f>-'rendiconto finanziario'!B49</f>
        <v>0</v>
      </c>
      <c r="C38" s="100">
        <f>-'rendiconto finanziario'!C49</f>
        <v>-994</v>
      </c>
      <c r="D38" s="100">
        <f>-'rendiconto finanziario'!D49</f>
        <v>-239177</v>
      </c>
    </row>
    <row r="39" spans="1:5" ht="13">
      <c r="B39" s="100"/>
      <c r="C39" s="100"/>
      <c r="D39" s="100"/>
    </row>
    <row r="41" spans="1:5" ht="13">
      <c r="A41" s="17" t="s">
        <v>207</v>
      </c>
      <c r="B41" s="102">
        <f>SUM(B33:B39)</f>
        <v>0</v>
      </c>
      <c r="C41" s="102">
        <f>SUM(C33:C38)</f>
        <v>-307207</v>
      </c>
      <c r="D41" s="102">
        <f>SUM(D33:D38)</f>
        <v>-321753</v>
      </c>
    </row>
    <row r="43" spans="1:5" ht="13">
      <c r="A43" s="19" t="s">
        <v>251</v>
      </c>
      <c r="B43" s="103">
        <f>+B30+B41</f>
        <v>441892.75384615385</v>
      </c>
      <c r="C43" s="103">
        <f>+C30+C41</f>
        <v>-126170</v>
      </c>
      <c r="D43" s="103">
        <f>+D30+D41</f>
        <v>-217511</v>
      </c>
      <c r="E43" s="495"/>
    </row>
    <row r="47" spans="1:5">
      <c r="A47" t="s">
        <v>93</v>
      </c>
      <c r="B47" s="29">
        <f>+'rendiconto finanziario'!B47</f>
        <v>0</v>
      </c>
      <c r="C47" s="29">
        <f>+'rendiconto finanziario'!C47</f>
        <v>7298</v>
      </c>
      <c r="D47" s="29">
        <f>+'rendiconto finanziario'!D47</f>
        <v>-15316</v>
      </c>
    </row>
    <row r="48" spans="1:5">
      <c r="A48" t="s">
        <v>94</v>
      </c>
      <c r="B48" s="29">
        <f>+'rendiconto finanziario'!B48</f>
        <v>0</v>
      </c>
      <c r="C48" s="29">
        <f>+'rendiconto finanziario'!C48</f>
        <v>-133468</v>
      </c>
      <c r="D48" s="29">
        <f>+'rendiconto finanziario'!D48</f>
        <v>-202195</v>
      </c>
    </row>
    <row r="49" spans="1:4" ht="13">
      <c r="A49" s="19" t="s">
        <v>44</v>
      </c>
      <c r="B49" s="104">
        <f>SUM(B47:B48)</f>
        <v>0</v>
      </c>
      <c r="C49" s="104">
        <f>SUM(C47:C48)</f>
        <v>-126170</v>
      </c>
      <c r="D49" s="104">
        <f>SUM(D47:D48)</f>
        <v>-217511</v>
      </c>
    </row>
  </sheetData>
  <phoneticPr fontId="11" type="noConversion"/>
  <hyperlinks>
    <hyperlink ref="B3" location="'conto economico va'!C4" display="CONTO ECONOMICO A VALORE AGGIUNTO" xr:uid="{6C376ED2-7E93-6548-B826-3D29744177FD}"/>
    <hyperlink ref="B4" location="'conto economico margine '!C4" display="CONTO ECONOMICO A MARGINE DI CONTRIBUZIONE" xr:uid="{4ABCB4E9-C66E-C14C-A9A5-B6D3D16994A5}"/>
    <hyperlink ref="B6" location="'break even'!C4" display="BREAK EVEN" xr:uid="{D603689A-C97B-0A43-8EB3-DE6A241DAA30}"/>
    <hyperlink ref="B8" location="'stato patrimoniale'!C4" display="STATO PATRIMONIALE" xr:uid="{A3990F83-9A8E-9D42-A544-F1FD3E77A8B0}"/>
    <hyperlink ref="B9" location="'rendiconto finanziario'!A1" display="RENDICONTO FINANZIARIO" xr:uid="{84CA47DA-A208-2245-945A-0239D81579AB}"/>
    <hyperlink ref="B7" location="Pareto!A1" display="PARETO" xr:uid="{57DCE4DF-FD01-5E40-AEA9-E85A488B9E34}"/>
    <hyperlink ref="B2" location="'bilancio cee'!A1" display="BILANCIO CEE" xr:uid="{B533A157-35FB-A54F-B4D4-DB4511B84974}"/>
    <hyperlink ref="B5" location="'Conto economico RI'!A1" display="CONTO ECONOMICO RI" xr:uid="{A9779CBD-58EC-B446-8F23-2536222DA01B}"/>
    <hyperlink ref="E3" location="'rendiconto OIC'!A1" display="RENDICONTO OIC" xr:uid="{1D6BD188-661D-0241-A4BF-BFB291E08170}"/>
    <hyperlink ref="E4" location="'flussi di ccn'!A1" display="FLUSSI CCN" xr:uid="{43273847-0446-1641-95BE-071958E3EA76}"/>
    <hyperlink ref="E6" location="'albero redditività'!A1" display="ALBERO REDDITITIVITA'" xr:uid="{28BBFFA9-B436-0C41-9F75-AA76B2C0B821}"/>
    <hyperlink ref="E7" location="indici!A1" display="INDICI" xr:uid="{1C9311D5-11D7-AA49-9EC8-40105A0F044C}"/>
    <hyperlink ref="E8" location="'indicatori crisi'!A1" display="INDICI DI CRISI" xr:uid="{ABF2BF20-65F3-8A42-850E-B2D950AFE82D}"/>
    <hyperlink ref="E9" location="valutazione!A1" display="VALUTAZIONE" xr:uid="{D6246E3D-6151-BD4F-A3A0-F3B877D4FBCA}"/>
    <hyperlink ref="E2" location="'rendiconto di liquidità'!A1" display="RENDICONTO DI LIQUIDITA'" xr:uid="{818E80FB-4F01-C649-ADEB-5AC40BF4807E}"/>
    <hyperlink ref="E5" location="'albero redditività'!A1" display="ALBERO REDDITITIVITA'" xr:uid="{4C44A677-300D-9B47-BDFD-3925EEA11D93}"/>
  </hyperlinks>
  <printOptions horizontalCentered="1"/>
  <pageMargins left="0" right="0" top="0.98425196850393704" bottom="0.98425196850393704" header="0.51181102362204722" footer="0.51181102362204722"/>
  <pageSetup paperSize="0" orientation="portrait" horizontalDpi="4294967292" verticalDpi="4294967292"/>
  <headerFooter alignWithMargins="0">
    <oddHeader>&amp;L&amp;CRENDICONTO FINANZIARIO&amp;R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63A30-7ADE-6940-B5D1-466BBAF1CBE9}">
  <dimension ref="A1:G78"/>
  <sheetViews>
    <sheetView showGridLines="0" topLeftCell="B10" zoomScale="180" zoomScaleNormal="180" workbookViewId="0">
      <selection activeCell="B14" sqref="B14"/>
    </sheetView>
  </sheetViews>
  <sheetFormatPr baseColWidth="10" defaultRowHeight="12" outlineLevelRow="1"/>
  <cols>
    <col min="2" max="2" width="88.1640625" style="516" bestFit="1" customWidth="1"/>
    <col min="3" max="3" width="16.83203125" style="516" customWidth="1"/>
    <col min="4" max="4" width="13" style="521" bestFit="1" customWidth="1"/>
    <col min="6" max="6" width="11.5" bestFit="1" customWidth="1"/>
  </cols>
  <sheetData>
    <row r="1" spans="1:5" ht="18">
      <c r="A1" s="454"/>
      <c r="B1" s="454"/>
      <c r="C1"/>
      <c r="D1"/>
    </row>
    <row r="2" spans="1:5" ht="18">
      <c r="A2" s="454">
        <v>1</v>
      </c>
      <c r="B2" s="663" t="s">
        <v>659</v>
      </c>
      <c r="C2"/>
      <c r="D2" s="454">
        <v>9</v>
      </c>
      <c r="E2" s="663" t="s">
        <v>610</v>
      </c>
    </row>
    <row r="3" spans="1:5" ht="18">
      <c r="A3" s="454">
        <v>2</v>
      </c>
      <c r="B3" s="663" t="s">
        <v>607</v>
      </c>
      <c r="C3"/>
      <c r="D3" s="454">
        <v>10</v>
      </c>
      <c r="E3" s="663" t="s">
        <v>661</v>
      </c>
    </row>
    <row r="4" spans="1:5" ht="18">
      <c r="A4" s="454">
        <v>3</v>
      </c>
      <c r="B4" s="663" t="s">
        <v>609</v>
      </c>
      <c r="C4"/>
      <c r="D4" s="454">
        <v>11</v>
      </c>
      <c r="E4" s="663" t="s">
        <v>662</v>
      </c>
    </row>
    <row r="5" spans="1:5" ht="18">
      <c r="A5" s="454">
        <v>4</v>
      </c>
      <c r="B5" s="663" t="s">
        <v>660</v>
      </c>
      <c r="C5"/>
      <c r="D5" s="454">
        <v>12</v>
      </c>
      <c r="E5" s="663" t="s">
        <v>663</v>
      </c>
    </row>
    <row r="6" spans="1:5" ht="18">
      <c r="A6" s="454">
        <v>5</v>
      </c>
      <c r="B6" s="663" t="s">
        <v>611</v>
      </c>
      <c r="C6"/>
      <c r="D6" s="454">
        <v>13</v>
      </c>
      <c r="E6" s="663" t="s">
        <v>663</v>
      </c>
    </row>
    <row r="7" spans="1:5" ht="18">
      <c r="A7" s="454">
        <v>6</v>
      </c>
      <c r="B7" s="663" t="s">
        <v>613</v>
      </c>
      <c r="C7"/>
      <c r="D7" s="454">
        <v>14</v>
      </c>
      <c r="E7" s="663" t="s">
        <v>664</v>
      </c>
    </row>
    <row r="8" spans="1:5" ht="18">
      <c r="A8" s="454">
        <v>7</v>
      </c>
      <c r="B8" s="663" t="s">
        <v>612</v>
      </c>
      <c r="C8"/>
      <c r="D8" s="454">
        <v>15</v>
      </c>
      <c r="E8" s="663" t="s">
        <v>665</v>
      </c>
    </row>
    <row r="9" spans="1:5" ht="18">
      <c r="A9" s="454">
        <v>8</v>
      </c>
      <c r="B9" s="663" t="s">
        <v>608</v>
      </c>
      <c r="C9"/>
      <c r="D9" s="454">
        <v>16</v>
      </c>
      <c r="E9" s="663" t="s">
        <v>666</v>
      </c>
    </row>
    <row r="13" spans="1:5" ht="14">
      <c r="B13" s="509" t="s">
        <v>496</v>
      </c>
      <c r="C13" s="528"/>
      <c r="D13" s="518"/>
    </row>
    <row r="14" spans="1:5" ht="14">
      <c r="B14" s="510" t="s">
        <v>497</v>
      </c>
      <c r="C14" s="534">
        <f>+'conto economico va'!E88</f>
        <v>5048</v>
      </c>
      <c r="D14" s="517">
        <f>+'conto economico va'!B88</f>
        <v>20538</v>
      </c>
    </row>
    <row r="15" spans="1:5" ht="14" outlineLevel="1">
      <c r="B15" s="511" t="s">
        <v>498</v>
      </c>
      <c r="C15" s="534">
        <f>-'conto economico va'!E85-'conto economico va'!E86</f>
        <v>49105</v>
      </c>
      <c r="D15" s="517">
        <f>-'conto economico va'!B85-'conto economico va'!B86</f>
        <v>50046</v>
      </c>
    </row>
    <row r="16" spans="1:5" ht="14" outlineLevel="1">
      <c r="B16" s="511" t="s">
        <v>499</v>
      </c>
      <c r="C16" s="534">
        <f>-'conto economico va'!E70</f>
        <v>138822</v>
      </c>
      <c r="D16" s="517">
        <f>-'conto economico va'!C74-'conto economico va'!C73</f>
        <v>160091</v>
      </c>
    </row>
    <row r="17" spans="2:7" ht="14" outlineLevel="1">
      <c r="B17" s="511" t="s">
        <v>500</v>
      </c>
      <c r="C17" s="529"/>
      <c r="D17" s="517">
        <v>0</v>
      </c>
    </row>
    <row r="18" spans="2:7" ht="14" outlineLevel="1">
      <c r="B18" s="511" t="s">
        <v>501</v>
      </c>
      <c r="C18" s="534">
        <f>-'conto economico va'!E77</f>
        <v>-162183</v>
      </c>
      <c r="D18" s="517">
        <f>-'conto economico va'!B77</f>
        <v>-113621</v>
      </c>
    </row>
    <row r="19" spans="2:7" ht="28">
      <c r="B19" s="542" t="s">
        <v>541</v>
      </c>
      <c r="C19" s="543">
        <f>SUM(C14:C18)</f>
        <v>30792</v>
      </c>
      <c r="D19" s="543">
        <f>SUM(D14:D18)</f>
        <v>117054</v>
      </c>
    </row>
    <row r="20" spans="2:7" ht="13" outlineLevel="1">
      <c r="B20" s="511"/>
      <c r="C20" s="529"/>
      <c r="D20" s="517"/>
    </row>
    <row r="21" spans="2:7" ht="28" outlineLevel="1">
      <c r="B21" s="512" t="s">
        <v>542</v>
      </c>
      <c r="C21" s="530"/>
      <c r="D21" s="517"/>
    </row>
    <row r="22" spans="2:7" ht="14" outlineLevel="1">
      <c r="B22" s="511" t="s">
        <v>502</v>
      </c>
      <c r="C22" s="534">
        <f>+'conto economico va'!F66+'conto economico va'!F56</f>
        <v>106447</v>
      </c>
      <c r="D22" s="517">
        <f>+'conto economico va'!C66+'conto economico va'!C56</f>
        <v>47935</v>
      </c>
    </row>
    <row r="23" spans="2:7" ht="14" outlineLevel="1">
      <c r="B23" s="511" t="s">
        <v>503</v>
      </c>
      <c r="C23" s="534">
        <f>+'conto economico va'!F64+'conto economico va'!F65</f>
        <v>307387</v>
      </c>
      <c r="D23" s="517">
        <f>+'conto economico va'!C64+'conto economico va'!C65</f>
        <v>305303</v>
      </c>
    </row>
    <row r="24" spans="2:7" ht="14" outlineLevel="1">
      <c r="B24" s="511" t="s">
        <v>504</v>
      </c>
      <c r="C24" s="529"/>
      <c r="D24" s="517"/>
    </row>
    <row r="25" spans="2:7" ht="28" outlineLevel="1">
      <c r="B25" s="511" t="s">
        <v>543</v>
      </c>
      <c r="C25" s="529"/>
      <c r="D25" s="517"/>
    </row>
    <row r="26" spans="2:7" ht="14" outlineLevel="1">
      <c r="B26" s="511" t="s">
        <v>505</v>
      </c>
      <c r="C26" s="529"/>
      <c r="D26" s="517"/>
      <c r="G26" s="526">
        <f>+D16</f>
        <v>160091</v>
      </c>
    </row>
    <row r="27" spans="2:7" ht="14">
      <c r="B27" s="542" t="s">
        <v>506</v>
      </c>
      <c r="C27" s="543">
        <f>+SUM(C20:C26)+C19</f>
        <v>444626</v>
      </c>
      <c r="D27" s="543">
        <f>+SUM(D20:D26)+D19</f>
        <v>470292</v>
      </c>
      <c r="F27" s="88">
        <f>+'rendiconto finanziario'!D19</f>
        <v>423822</v>
      </c>
      <c r="G27" s="526">
        <f>+D18</f>
        <v>-113621</v>
      </c>
    </row>
    <row r="28" spans="2:7" ht="14" outlineLevel="1">
      <c r="B28" s="512" t="s">
        <v>507</v>
      </c>
      <c r="C28" s="530"/>
      <c r="D28" s="517"/>
      <c r="F28" s="88">
        <f>+F27+G28</f>
        <v>470292</v>
      </c>
      <c r="G28" s="526">
        <f>SUM(G26:G27)</f>
        <v>46470</v>
      </c>
    </row>
    <row r="29" spans="2:7" ht="14" outlineLevel="1">
      <c r="B29" s="511" t="s">
        <v>508</v>
      </c>
      <c r="C29" s="535">
        <f>-'Stato patrimoniale'!J56</f>
        <v>-313848</v>
      </c>
      <c r="D29" s="517">
        <f>-'Stato patrimoniale'!I56</f>
        <v>-15599</v>
      </c>
    </row>
    <row r="30" spans="2:7" ht="14" outlineLevel="1">
      <c r="B30" s="511" t="s">
        <v>509</v>
      </c>
      <c r="C30" s="535">
        <f>-'Stato patrimoniale'!J47-'conto economico va'!F66</f>
        <v>-153834</v>
      </c>
      <c r="D30" s="527">
        <f>-'Stato patrimoniale'!I47-'conto economico va'!C66</f>
        <v>-89332</v>
      </c>
    </row>
    <row r="31" spans="2:7" ht="14" outlineLevel="1">
      <c r="B31" s="511" t="s">
        <v>510</v>
      </c>
      <c r="C31" s="535">
        <f>+'Stato patrimoniale'!L48</f>
        <v>498985</v>
      </c>
      <c r="D31" s="527">
        <f>+'Stato patrimoniale'!K48</f>
        <v>-157385</v>
      </c>
    </row>
    <row r="32" spans="2:7" ht="14" outlineLevel="1">
      <c r="B32" s="513" t="s">
        <v>511</v>
      </c>
      <c r="C32" s="536">
        <f>-'Stato patrimoniale'!J55</f>
        <v>-4452</v>
      </c>
      <c r="D32" s="519">
        <f>-'Stato patrimoniale'!I55</f>
        <v>-2930</v>
      </c>
    </row>
    <row r="33" spans="2:7" ht="14" outlineLevel="1">
      <c r="B33" s="513" t="s">
        <v>512</v>
      </c>
      <c r="C33" s="536">
        <f>+'Stato patrimoniale'!L53</f>
        <v>-48733</v>
      </c>
      <c r="D33" s="519">
        <f>+'Stato patrimoniale'!K53</f>
        <v>32416</v>
      </c>
    </row>
    <row r="34" spans="2:7" ht="14" outlineLevel="1">
      <c r="B34" s="513" t="s">
        <v>513</v>
      </c>
      <c r="C34" s="536">
        <f>-'Stato patrimoniale'!J54+SUM('Stato patrimoniale'!L49:L52)</f>
        <v>-215963</v>
      </c>
      <c r="D34" s="517">
        <f>-'Stato patrimoniale'!I54+SUM('Stato patrimoniale'!K49:K52)</f>
        <v>-36704</v>
      </c>
    </row>
    <row r="35" spans="2:7" ht="14">
      <c r="B35" s="542" t="s">
        <v>514</v>
      </c>
      <c r="C35" s="543">
        <f>+C27+SUM(C29:C34)</f>
        <v>206781</v>
      </c>
      <c r="D35" s="543">
        <f>+D27+SUM(D29:D34)</f>
        <v>200758</v>
      </c>
    </row>
    <row r="36" spans="2:7" ht="14" outlineLevel="1">
      <c r="B36" s="513" t="s">
        <v>515</v>
      </c>
      <c r="C36" s="531"/>
      <c r="D36" s="517"/>
    </row>
    <row r="37" spans="2:7" ht="14" outlineLevel="1">
      <c r="B37" s="513" t="s">
        <v>516</v>
      </c>
      <c r="C37" s="538">
        <f>-C16</f>
        <v>-138822</v>
      </c>
      <c r="D37" s="523">
        <f>+'conto economico va'!B70</f>
        <v>-160091</v>
      </c>
    </row>
    <row r="38" spans="2:7" ht="14" outlineLevel="1">
      <c r="B38" s="513" t="s">
        <v>517</v>
      </c>
      <c r="C38" s="538">
        <f>-C15</f>
        <v>-49105</v>
      </c>
      <c r="D38" s="527">
        <f>-D15</f>
        <v>-50046</v>
      </c>
    </row>
    <row r="39" spans="2:7" ht="14" outlineLevel="1">
      <c r="B39" s="513" t="s">
        <v>518</v>
      </c>
      <c r="C39" s="531"/>
      <c r="D39" s="517"/>
    </row>
    <row r="40" spans="2:7" ht="14" outlineLevel="1">
      <c r="B40" s="513" t="s">
        <v>519</v>
      </c>
      <c r="C40" s="538">
        <f>+'Stato patrimoniale'!L24-'conto economico va'!F56</f>
        <v>-13589</v>
      </c>
      <c r="D40" s="517">
        <f>+'Stato patrimoniale'!K24-'conto economico va'!C56</f>
        <v>-1465</v>
      </c>
    </row>
    <row r="41" spans="2:7" ht="14" outlineLevel="1">
      <c r="B41" s="513" t="s">
        <v>520</v>
      </c>
      <c r="C41" s="538">
        <f>-C18</f>
        <v>162183</v>
      </c>
      <c r="D41" s="517">
        <f>-D18</f>
        <v>113621</v>
      </c>
    </row>
    <row r="42" spans="2:7" ht="14">
      <c r="B42" s="542" t="s">
        <v>544</v>
      </c>
      <c r="C42" s="543">
        <f>+C35+SUM(C36:C41)</f>
        <v>167448</v>
      </c>
      <c r="D42" s="543">
        <f>+D35+SUM(D36:D41)</f>
        <v>102777</v>
      </c>
      <c r="F42" s="521">
        <f>+'rendiconto finanziario'!D30</f>
        <v>104242</v>
      </c>
      <c r="G42" s="526">
        <f>+F42-D42</f>
        <v>1465</v>
      </c>
    </row>
    <row r="43" spans="2:7" ht="14">
      <c r="B43" s="514" t="s">
        <v>521</v>
      </c>
      <c r="C43" s="532"/>
      <c r="D43" s="517"/>
    </row>
    <row r="44" spans="2:7" ht="14" outlineLevel="1">
      <c r="B44" s="524" t="s">
        <v>522</v>
      </c>
      <c r="C44" s="533"/>
      <c r="D44" s="517"/>
    </row>
    <row r="45" spans="2:7" ht="14" outlineLevel="1">
      <c r="B45" s="513" t="s">
        <v>545</v>
      </c>
      <c r="C45" s="538">
        <f>-'Stato patrimoniale'!J15-'conto economico va'!F64</f>
        <v>-259516</v>
      </c>
      <c r="D45" s="517">
        <f>-'Stato patrimoniale'!I15-'conto economico va'!C64</f>
        <v>-65545</v>
      </c>
    </row>
    <row r="46" spans="2:7" ht="14" outlineLevel="1">
      <c r="B46" s="524" t="s">
        <v>523</v>
      </c>
      <c r="C46" s="533"/>
      <c r="D46" s="517"/>
    </row>
    <row r="47" spans="2:7" ht="14" outlineLevel="1">
      <c r="B47" s="513" t="s">
        <v>545</v>
      </c>
      <c r="C47" s="538">
        <f>-'Stato patrimoniale'!J24-'conto economico va'!F65</f>
        <v>-28843</v>
      </c>
      <c r="D47" s="517">
        <f>-'Stato patrimoniale'!I24-'conto economico va'!C65</f>
        <v>-11249</v>
      </c>
    </row>
    <row r="48" spans="2:7" ht="14" outlineLevel="1">
      <c r="B48" s="524" t="s">
        <v>524</v>
      </c>
      <c r="C48" s="533"/>
      <c r="D48" s="517"/>
    </row>
    <row r="49" spans="2:7" ht="14" outlineLevel="1">
      <c r="B49" s="513" t="s">
        <v>545</v>
      </c>
      <c r="C49" s="536">
        <f>-'Stato patrimoniale'!J38</f>
        <v>-4264</v>
      </c>
      <c r="D49" s="517">
        <f>-'Stato patrimoniale'!I38</f>
        <v>-4318</v>
      </c>
    </row>
    <row r="50" spans="2:7" ht="14" outlineLevel="1">
      <c r="B50" s="524" t="s">
        <v>525</v>
      </c>
      <c r="C50" s="533"/>
      <c r="D50" s="517"/>
    </row>
    <row r="51" spans="2:7" ht="14" outlineLevel="1">
      <c r="B51" s="513" t="s">
        <v>545</v>
      </c>
      <c r="C51" s="531"/>
      <c r="D51" s="517"/>
    </row>
    <row r="52" spans="2:7" ht="28" outlineLevel="1">
      <c r="B52" s="513" t="s">
        <v>546</v>
      </c>
      <c r="C52" s="531"/>
      <c r="D52" s="517"/>
    </row>
    <row r="53" spans="2:7" ht="14" outlineLevel="1">
      <c r="B53" s="542" t="s">
        <v>526</v>
      </c>
      <c r="C53" s="543">
        <f>SUM(C45:C52)</f>
        <v>-292623</v>
      </c>
      <c r="D53" s="543">
        <f>SUM(D45:D52)</f>
        <v>-81112</v>
      </c>
    </row>
    <row r="54" spans="2:7" ht="14">
      <c r="B54" s="513" t="s">
        <v>527</v>
      </c>
      <c r="C54" s="531"/>
      <c r="D54" s="517"/>
    </row>
    <row r="55" spans="2:7" ht="14" outlineLevel="1">
      <c r="B55" s="524" t="s">
        <v>528</v>
      </c>
      <c r="C55" s="533"/>
      <c r="D55" s="517"/>
    </row>
    <row r="56" spans="2:7" ht="14" outlineLevel="1">
      <c r="B56" s="513" t="s">
        <v>529</v>
      </c>
      <c r="C56" s="539">
        <f>+'Stato patrimoniale'!L62</f>
        <v>133468</v>
      </c>
      <c r="D56" s="517">
        <f>+'Stato patrimoniale'!K62</f>
        <v>202195</v>
      </c>
    </row>
    <row r="57" spans="2:7" ht="14" outlineLevel="1">
      <c r="B57" s="513" t="s">
        <v>547</v>
      </c>
      <c r="C57" s="539">
        <f>+'Stato patrimoniale'!L41</f>
        <v>-994</v>
      </c>
      <c r="D57" s="517">
        <f>+'Stato patrimoniale'!K41</f>
        <v>-239177</v>
      </c>
    </row>
    <row r="58" spans="2:7" ht="14" outlineLevel="1">
      <c r="B58" s="524" t="s">
        <v>141</v>
      </c>
      <c r="C58" s="533"/>
      <c r="D58" s="517"/>
    </row>
    <row r="59" spans="2:7" ht="14" outlineLevel="1">
      <c r="B59" s="513" t="s">
        <v>548</v>
      </c>
      <c r="C59" s="531"/>
      <c r="D59" s="517"/>
    </row>
    <row r="60" spans="2:7" ht="14" outlineLevel="1">
      <c r="B60" s="513" t="s">
        <v>530</v>
      </c>
      <c r="C60" s="531"/>
      <c r="D60" s="517"/>
    </row>
    <row r="61" spans="2:7" ht="14" outlineLevel="1">
      <c r="B61" s="513" t="s">
        <v>531</v>
      </c>
      <c r="C61" s="539">
        <f>+'Stato patrimoniale'!L15-C14</f>
        <v>-1</v>
      </c>
      <c r="D61" s="517">
        <f>+'Stato patrimoniale'!K15-D14</f>
        <v>1</v>
      </c>
    </row>
    <row r="62" spans="2:7" ht="14">
      <c r="B62" s="544" t="s">
        <v>532</v>
      </c>
      <c r="C62" s="545">
        <f>SUM(C55:C61)</f>
        <v>132473</v>
      </c>
      <c r="D62" s="522">
        <f>SUM(D55:D61)</f>
        <v>-36981</v>
      </c>
      <c r="E62" s="526"/>
      <c r="F62" s="93">
        <f>+'rendiconto finanziario'!D41</f>
        <v>-82576</v>
      </c>
      <c r="G62" s="526">
        <f>+F62-D53</f>
        <v>-1464</v>
      </c>
    </row>
    <row r="63" spans="2:7" ht="19" outlineLevel="1">
      <c r="B63" s="546" t="s">
        <v>533</v>
      </c>
      <c r="C63" s="547">
        <f>+C42+C53+C62</f>
        <v>7298</v>
      </c>
      <c r="D63" s="547">
        <f>+D42+D53+D62</f>
        <v>-15316</v>
      </c>
    </row>
    <row r="64" spans="2:7" ht="14" outlineLevel="1">
      <c r="B64" s="513" t="s">
        <v>534</v>
      </c>
      <c r="C64" s="531"/>
      <c r="D64" s="517"/>
    </row>
    <row r="65" spans="2:6" ht="13">
      <c r="B65" s="513"/>
      <c r="C65" s="531"/>
      <c r="D65" s="517"/>
    </row>
    <row r="66" spans="2:6" ht="14">
      <c r="B66" s="514" t="s">
        <v>535</v>
      </c>
      <c r="C66" s="540">
        <f>+'Stato patrimoniale'!B61</f>
        <v>17276</v>
      </c>
      <c r="D66" s="525">
        <f>+'Stato patrimoniale'!C61</f>
        <v>24574</v>
      </c>
    </row>
    <row r="67" spans="2:6" ht="14">
      <c r="B67" s="513" t="s">
        <v>536</v>
      </c>
      <c r="C67" s="531"/>
      <c r="D67" s="517"/>
    </row>
    <row r="68" spans="2:6" ht="14">
      <c r="B68" s="513" t="s">
        <v>537</v>
      </c>
      <c r="C68" s="538">
        <f>+'Stato patrimoniale'!B62</f>
        <v>11570</v>
      </c>
      <c r="D68" s="517">
        <f>+'Stato patrimoniale'!C62</f>
        <v>19174</v>
      </c>
    </row>
    <row r="69" spans="2:6" ht="14">
      <c r="B69" s="513" t="s">
        <v>538</v>
      </c>
      <c r="C69" s="531"/>
      <c r="D69" s="517"/>
    </row>
    <row r="70" spans="2:6" ht="14">
      <c r="B70" s="513" t="s">
        <v>539</v>
      </c>
      <c r="C70" s="538">
        <f>+'Stato patrimoniale'!B63</f>
        <v>5706</v>
      </c>
      <c r="D70" s="517">
        <f>+'Stato patrimoniale'!C63</f>
        <v>5400</v>
      </c>
    </row>
    <row r="71" spans="2:6" ht="14">
      <c r="B71" s="514" t="s">
        <v>540</v>
      </c>
      <c r="C71" s="540">
        <f>+'Stato patrimoniale'!C61</f>
        <v>24574</v>
      </c>
      <c r="D71" s="525">
        <f>+'Stato patrimoniale'!D61</f>
        <v>9258</v>
      </c>
    </row>
    <row r="72" spans="2:6" ht="14">
      <c r="B72" s="513" t="s">
        <v>536</v>
      </c>
      <c r="C72" s="531"/>
      <c r="D72" s="517"/>
    </row>
    <row r="73" spans="2:6" ht="14">
      <c r="B73" s="513" t="s">
        <v>537</v>
      </c>
      <c r="C73" s="538">
        <f>+'Stato patrimoniale'!C62</f>
        <v>19174</v>
      </c>
      <c r="D73" s="517">
        <f>+'Stato patrimoniale'!D62</f>
        <v>6009</v>
      </c>
    </row>
    <row r="74" spans="2:6" ht="14">
      <c r="B74" s="513" t="s">
        <v>538</v>
      </c>
      <c r="C74" s="531"/>
      <c r="D74" s="517"/>
    </row>
    <row r="75" spans="2:6" ht="14">
      <c r="B75" s="515" t="s">
        <v>539</v>
      </c>
      <c r="C75" s="541">
        <f>+'Stato patrimoniale'!C63</f>
        <v>5400</v>
      </c>
      <c r="D75" s="520">
        <f>+'Stato patrimoniale'!D63</f>
        <v>3249</v>
      </c>
    </row>
    <row r="76" spans="2:6">
      <c r="B76" s="362"/>
      <c r="C76" s="362"/>
    </row>
    <row r="78" spans="2:6">
      <c r="C78" s="521">
        <f>+C71-C66</f>
        <v>7298</v>
      </c>
      <c r="D78" s="521">
        <f>+D71-D66</f>
        <v>-15316</v>
      </c>
      <c r="F78" s="526"/>
    </row>
  </sheetData>
  <hyperlinks>
    <hyperlink ref="B3" location="'conto economico va'!C4" display="CONTO ECONOMICO A VALORE AGGIUNTO" xr:uid="{97E27D7A-FFE6-B245-B679-6E582F9E439E}"/>
    <hyperlink ref="B4" location="'conto economico margine '!C4" display="CONTO ECONOMICO A MARGINE DI CONTRIBUZIONE" xr:uid="{5BBB30BC-967A-DF4B-8D0B-AB069556F74D}"/>
    <hyperlink ref="B6" location="'break even'!C4" display="BREAK EVEN" xr:uid="{8DBE518F-A1F2-5646-BC9B-07999FFCB590}"/>
    <hyperlink ref="B8" location="'stato patrimoniale'!C4" display="STATO PATRIMONIALE" xr:uid="{A542CC66-3058-5641-8090-32D12AA7276A}"/>
    <hyperlink ref="B9" location="'rendiconto finanziario'!A1" display="RENDICONTO FINANZIARIO" xr:uid="{68198225-E530-1E4E-B6AD-20BC7262CA62}"/>
    <hyperlink ref="B7" location="Pareto!A1" display="PARETO" xr:uid="{72BC0295-30D3-3C48-8B30-68E0A8C1F5B2}"/>
    <hyperlink ref="B2" location="'bilancio cee'!A1" display="BILANCIO CEE" xr:uid="{E1C0F699-DF8F-6741-A3A7-35179D083E47}"/>
    <hyperlink ref="B5" location="'Conto economico RI'!A1" display="CONTO ECONOMICO RI" xr:uid="{2FB69A6E-CC09-3046-A170-842E15D147A6}"/>
    <hyperlink ref="E3" location="'rendiconto OIC'!A1" display="RENDICONTO OIC" xr:uid="{C029F6BD-D6E4-B443-8569-115A35C9AF47}"/>
    <hyperlink ref="E4" location="'flussi di ccn'!A1" display="FLUSSI CCN" xr:uid="{3EE00B14-F471-EE44-8174-66AE4BF3D5AB}"/>
    <hyperlink ref="E6" location="'albero redditività'!A1" display="ALBERO REDDITITIVITA'" xr:uid="{537C6E0A-B79A-3544-AA1C-B3E2F2D8D332}"/>
    <hyperlink ref="E7" location="indici!A1" display="INDICI" xr:uid="{3123005C-2CC9-EC41-8ED4-9763C613EFD1}"/>
    <hyperlink ref="E8" location="'indicatori crisi'!A1" display="INDICI DI CRISI" xr:uid="{3DE41AF2-2D3C-BC41-9D02-81EC79696A70}"/>
    <hyperlink ref="E9" location="valutazione!A1" display="VALUTAZIONE" xr:uid="{30F51969-9F2C-0842-B79D-2F648D04F409}"/>
    <hyperlink ref="E2" location="'rendiconto di liquidità'!A1" display="RENDICONTO DI LIQUIDITA'" xr:uid="{8228E99B-27B0-4349-937B-11A6DA5E8B12}"/>
    <hyperlink ref="E5" location="'albero redditività'!A1" display="ALBERO REDDITITIVITA'" xr:uid="{1EE9122B-AFEF-8146-A742-333E43B8B183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72"/>
  <sheetViews>
    <sheetView showGridLines="0" topLeftCell="A17" zoomScale="210" zoomScaleNormal="210" workbookViewId="0">
      <selection activeCell="G50" sqref="G50"/>
    </sheetView>
  </sheetViews>
  <sheetFormatPr baseColWidth="10" defaultColWidth="11.5" defaultRowHeight="12"/>
  <cols>
    <col min="1" max="1" width="29.5" customWidth="1"/>
    <col min="2" max="3" width="13.33203125" customWidth="1"/>
  </cols>
  <sheetData>
    <row r="1" spans="1:5" ht="18">
      <c r="A1" s="454"/>
      <c r="B1" s="454"/>
    </row>
    <row r="2" spans="1:5" ht="18">
      <c r="A2" s="454">
        <v>1</v>
      </c>
      <c r="B2" s="663" t="s">
        <v>659</v>
      </c>
      <c r="D2" s="454">
        <v>9</v>
      </c>
      <c r="E2" s="663" t="s">
        <v>610</v>
      </c>
    </row>
    <row r="3" spans="1:5" ht="18">
      <c r="A3" s="454">
        <v>2</v>
      </c>
      <c r="B3" s="663" t="s">
        <v>607</v>
      </c>
      <c r="D3" s="454">
        <v>10</v>
      </c>
      <c r="E3" s="663" t="s">
        <v>661</v>
      </c>
    </row>
    <row r="4" spans="1:5" ht="18">
      <c r="A4" s="454">
        <v>3</v>
      </c>
      <c r="B4" s="663" t="s">
        <v>609</v>
      </c>
      <c r="D4" s="454">
        <v>11</v>
      </c>
      <c r="E4" s="663" t="s">
        <v>662</v>
      </c>
    </row>
    <row r="5" spans="1:5" ht="18">
      <c r="A5" s="454">
        <v>4</v>
      </c>
      <c r="B5" s="663" t="s">
        <v>660</v>
      </c>
      <c r="D5" s="454">
        <v>12</v>
      </c>
      <c r="E5" s="663" t="s">
        <v>663</v>
      </c>
    </row>
    <row r="6" spans="1:5" ht="18">
      <c r="A6" s="454">
        <v>5</v>
      </c>
      <c r="B6" s="663" t="s">
        <v>611</v>
      </c>
      <c r="D6" s="454">
        <v>13</v>
      </c>
      <c r="E6" s="663" t="s">
        <v>663</v>
      </c>
    </row>
    <row r="7" spans="1:5" ht="18">
      <c r="A7" s="454">
        <v>6</v>
      </c>
      <c r="B7" s="663" t="s">
        <v>613</v>
      </c>
      <c r="D7" s="454">
        <v>14</v>
      </c>
      <c r="E7" s="663" t="s">
        <v>664</v>
      </c>
    </row>
    <row r="8" spans="1:5" ht="18">
      <c r="A8" s="454">
        <v>7</v>
      </c>
      <c r="B8" s="663" t="s">
        <v>612</v>
      </c>
      <c r="D8" s="454">
        <v>15</v>
      </c>
      <c r="E8" s="663" t="s">
        <v>665</v>
      </c>
    </row>
    <row r="9" spans="1:5" ht="18">
      <c r="A9" s="454">
        <v>8</v>
      </c>
      <c r="B9" s="663" t="s">
        <v>608</v>
      </c>
      <c r="D9" s="454">
        <v>16</v>
      </c>
      <c r="E9" s="663" t="s">
        <v>666</v>
      </c>
    </row>
    <row r="12" spans="1:5" ht="13" thickBot="1"/>
    <row r="13" spans="1:5" ht="19" thickBot="1">
      <c r="B13" s="446" t="s">
        <v>441</v>
      </c>
      <c r="C13" s="352" t="s">
        <v>442</v>
      </c>
      <c r="D13" s="352" t="s">
        <v>443</v>
      </c>
    </row>
    <row r="14" spans="1:5" ht="13">
      <c r="A14" t="s">
        <v>224</v>
      </c>
      <c r="B14" s="100">
        <f>+'rendiconto finanziario'!B14</f>
        <v>94719</v>
      </c>
      <c r="C14" s="100">
        <f>+'rendiconto finanziario'!C14</f>
        <v>5048</v>
      </c>
      <c r="D14" s="100">
        <f>+'rendiconto finanziario'!D14</f>
        <v>20538</v>
      </c>
    </row>
    <row r="15" spans="1:5" ht="13">
      <c r="A15" t="s">
        <v>235</v>
      </c>
      <c r="B15" s="100">
        <f>+'rendiconto finanziario'!B15</f>
        <v>317744</v>
      </c>
      <c r="C15" s="100">
        <f>+'rendiconto finanziario'!C15</f>
        <v>374668</v>
      </c>
      <c r="D15" s="100">
        <f>+'rendiconto finanziario'!D15</f>
        <v>312589</v>
      </c>
    </row>
    <row r="16" spans="1:5" ht="13">
      <c r="A16" t="s">
        <v>57</v>
      </c>
      <c r="B16" s="100">
        <f>+'rendiconto finanziario'!B16</f>
        <v>37133</v>
      </c>
      <c r="C16" s="100">
        <f>+'rendiconto finanziario'!C16</f>
        <v>39166</v>
      </c>
      <c r="D16" s="100">
        <f>+'rendiconto finanziario'!D16</f>
        <v>40649</v>
      </c>
    </row>
    <row r="17" spans="1:4" ht="13">
      <c r="A17" t="s">
        <v>192</v>
      </c>
      <c r="B17" s="100">
        <f>+'rendiconto finanziario'!B17</f>
        <v>52539</v>
      </c>
      <c r="C17" s="100">
        <f>+'rendiconto finanziario'!C17</f>
        <v>49105</v>
      </c>
      <c r="D17" s="100">
        <f>+'rendiconto finanziario'!D17</f>
        <v>50046</v>
      </c>
    </row>
    <row r="19" spans="1:4" ht="13">
      <c r="A19" s="2" t="s">
        <v>283</v>
      </c>
      <c r="B19" s="100">
        <f>SUM(B14:B18)</f>
        <v>502135</v>
      </c>
      <c r="C19" s="100">
        <f>SUM(C14:C18)</f>
        <v>467987</v>
      </c>
      <c r="D19" s="100">
        <f>SUM(D14:D18)</f>
        <v>423822</v>
      </c>
    </row>
    <row r="23" spans="1:4" ht="13">
      <c r="A23" t="s">
        <v>233</v>
      </c>
      <c r="B23" s="100">
        <f>+'rendiconto finanziario'!B33</f>
        <v>0</v>
      </c>
      <c r="C23" s="100">
        <f>+'rendiconto finanziario'!C33</f>
        <v>-259516</v>
      </c>
      <c r="D23" s="100">
        <f>+'rendiconto finanziario'!D33</f>
        <v>-65545</v>
      </c>
    </row>
    <row r="24" spans="1:4" ht="13">
      <c r="A24" t="s">
        <v>242</v>
      </c>
      <c r="B24" s="100">
        <f>+'rendiconto finanziario'!B34</f>
        <v>0</v>
      </c>
      <c r="C24" s="100">
        <f>+'rendiconto finanziario'!C34</f>
        <v>-28843</v>
      </c>
      <c r="D24" s="100">
        <f>+'rendiconto finanziario'!D34</f>
        <v>-11249</v>
      </c>
    </row>
    <row r="25" spans="1:4" ht="13">
      <c r="A25" t="s">
        <v>248</v>
      </c>
      <c r="B25" s="100">
        <f>+'rendiconto finanziario'!B35</f>
        <v>0</v>
      </c>
      <c r="C25" s="100">
        <f>+'rendiconto finanziario'!C35</f>
        <v>-4264</v>
      </c>
      <c r="D25" s="100">
        <f>+'rendiconto finanziario'!D35</f>
        <v>-4318</v>
      </c>
    </row>
    <row r="26" spans="1:4" ht="13">
      <c r="A26" t="s">
        <v>197</v>
      </c>
      <c r="B26" s="100">
        <f>+'rendiconto finanziario'!B36</f>
        <v>0</v>
      </c>
      <c r="C26" s="100">
        <f>+'rendiconto finanziario'!C36</f>
        <v>-1</v>
      </c>
      <c r="D26" s="100">
        <f>+'rendiconto finanziario'!D36</f>
        <v>1</v>
      </c>
    </row>
    <row r="27" spans="1:4" ht="13">
      <c r="A27" t="s">
        <v>204</v>
      </c>
      <c r="B27" s="100">
        <f>+'rendiconto finanziario'!B37</f>
        <v>0</v>
      </c>
      <c r="C27" s="100">
        <f>+'rendiconto finanziario'!C37</f>
        <v>-13589</v>
      </c>
      <c r="D27" s="100">
        <f>+'rendiconto finanziario'!D37</f>
        <v>-1465</v>
      </c>
    </row>
    <row r="28" spans="1:4" ht="13">
      <c r="A28" t="s">
        <v>47</v>
      </c>
      <c r="B28" s="100">
        <f>-'rendiconto finanziario'!B49</f>
        <v>0</v>
      </c>
      <c r="C28" s="100">
        <f>-'rendiconto finanziario'!C49</f>
        <v>-994</v>
      </c>
      <c r="D28" s="100">
        <f>-'rendiconto finanziario'!D49</f>
        <v>-239177</v>
      </c>
    </row>
    <row r="29" spans="1:4" ht="13">
      <c r="B29" s="100"/>
      <c r="C29" s="100"/>
      <c r="D29" s="100"/>
    </row>
    <row r="31" spans="1:4" ht="13">
      <c r="A31" s="17" t="s">
        <v>207</v>
      </c>
      <c r="B31" s="102">
        <f>SUM(B23:B29)</f>
        <v>0</v>
      </c>
      <c r="C31" s="102">
        <f>SUM(C23:C29)</f>
        <v>-307207</v>
      </c>
      <c r="D31" s="102">
        <f>SUM(D23:D29)</f>
        <v>-321753</v>
      </c>
    </row>
    <row r="33" spans="1:4" ht="13">
      <c r="A33" s="19" t="s">
        <v>46</v>
      </c>
      <c r="B33" s="103">
        <f>+B19+B31</f>
        <v>502135</v>
      </c>
      <c r="C33" s="103">
        <f>+C19+C31</f>
        <v>160780</v>
      </c>
      <c r="D33" s="103">
        <f>+D19+D31</f>
        <v>102069</v>
      </c>
    </row>
    <row r="36" spans="1:4">
      <c r="A36" t="s">
        <v>144</v>
      </c>
    </row>
    <row r="37" spans="1:4" ht="13">
      <c r="A37" t="s">
        <v>93</v>
      </c>
      <c r="B37" s="105">
        <f>+'rendiconto finanziario'!B47</f>
        <v>0</v>
      </c>
      <c r="C37" s="105">
        <f>+'rendiconto finanziario'!C47</f>
        <v>7298</v>
      </c>
      <c r="D37" s="105">
        <f>+'rendiconto finanziario'!D47</f>
        <v>-15316</v>
      </c>
    </row>
    <row r="38" spans="1:4" ht="13">
      <c r="A38" t="s">
        <v>94</v>
      </c>
      <c r="B38" s="105">
        <f>+'rendiconto finanziario'!B48</f>
        <v>0</v>
      </c>
      <c r="C38" s="105">
        <f>+'rendiconto finanziario'!C48</f>
        <v>-133468</v>
      </c>
      <c r="D38" s="105">
        <f>+'rendiconto finanziario'!D48</f>
        <v>-202195</v>
      </c>
    </row>
    <row r="39" spans="1:4" s="27" customFormat="1" ht="13">
      <c r="A39" s="27" t="s">
        <v>147</v>
      </c>
      <c r="B39" s="105">
        <f>-'rendiconto finanziario'!B23</f>
        <v>0</v>
      </c>
      <c r="C39" s="105">
        <f>-'rendiconto finanziario'!C23</f>
        <v>153834</v>
      </c>
      <c r="D39" s="105">
        <f>-'rendiconto finanziario'!D23</f>
        <v>89332</v>
      </c>
    </row>
    <row r="40" spans="1:4" ht="13">
      <c r="A40" t="s">
        <v>134</v>
      </c>
      <c r="B40" s="105">
        <f>-'rendiconto finanziario'!B24</f>
        <v>0</v>
      </c>
      <c r="C40" s="105">
        <f>-'rendiconto finanziario'!C24</f>
        <v>-332888</v>
      </c>
      <c r="D40" s="105">
        <f>-'rendiconto finanziario'!D24</f>
        <v>201186</v>
      </c>
    </row>
    <row r="41" spans="1:4" ht="13">
      <c r="A41" t="s">
        <v>183</v>
      </c>
      <c r="B41" s="105">
        <f>-'rendiconto finanziario'!B25</f>
        <v>0</v>
      </c>
      <c r="C41" s="105">
        <f>-'rendiconto finanziario'!C25</f>
        <v>313848</v>
      </c>
      <c r="D41" s="105">
        <f>-'rendiconto finanziario'!D25</f>
        <v>15599</v>
      </c>
    </row>
    <row r="42" spans="1:4" ht="13">
      <c r="A42" t="s">
        <v>181</v>
      </c>
      <c r="B42" s="105">
        <f>-'rendiconto finanziario'!B26</f>
        <v>0</v>
      </c>
      <c r="C42" s="105">
        <f>-'rendiconto finanziario'!C26</f>
        <v>152156</v>
      </c>
      <c r="D42" s="105">
        <f>-'rendiconto finanziario'!D26</f>
        <v>13463</v>
      </c>
    </row>
    <row r="44" spans="1:4" ht="13">
      <c r="A44" s="19" t="s">
        <v>144</v>
      </c>
      <c r="B44" s="103">
        <f>SUM(B37:B42)</f>
        <v>0</v>
      </c>
      <c r="C44" s="103">
        <f>SUM(C37:C42)</f>
        <v>160780</v>
      </c>
      <c r="D44" s="103">
        <f>SUM(D37:D42)</f>
        <v>102069</v>
      </c>
    </row>
    <row r="56" spans="1:3">
      <c r="B56" s="21"/>
      <c r="C56" s="21"/>
    </row>
    <row r="57" spans="1:3">
      <c r="B57" s="99"/>
      <c r="C57" s="99"/>
    </row>
    <row r="58" spans="1:3">
      <c r="A58" s="98"/>
      <c r="B58" s="21"/>
      <c r="C58" s="21"/>
    </row>
    <row r="62" spans="1:3">
      <c r="A62" s="96"/>
    </row>
    <row r="68" spans="1:3">
      <c r="B68" s="13"/>
      <c r="C68" s="13"/>
    </row>
    <row r="69" spans="1:3">
      <c r="B69" s="13"/>
      <c r="C69" s="13"/>
    </row>
    <row r="70" spans="1:3">
      <c r="A70" s="99"/>
    </row>
    <row r="72" spans="1:3">
      <c r="A72" s="99"/>
    </row>
  </sheetData>
  <phoneticPr fontId="11" type="noConversion"/>
  <hyperlinks>
    <hyperlink ref="B3" location="'conto economico va'!C4" display="CONTO ECONOMICO A VALORE AGGIUNTO" xr:uid="{8C4BF1D7-D227-A74C-AF31-19836F16ADF9}"/>
    <hyperlink ref="B4" location="'conto economico margine '!C4" display="CONTO ECONOMICO A MARGINE DI CONTRIBUZIONE" xr:uid="{A79C8DB6-9454-524F-AEDD-7FF35BB9517D}"/>
    <hyperlink ref="B6" location="'break even'!C4" display="BREAK EVEN" xr:uid="{D9FD04CD-E10F-DB48-AE6D-C7D3B42467B6}"/>
    <hyperlink ref="B8" location="'stato patrimoniale'!C4" display="STATO PATRIMONIALE" xr:uid="{F843FBD8-B844-2E47-94C0-5CA0CCB8E80E}"/>
    <hyperlink ref="B9" location="'rendiconto finanziario'!A1" display="RENDICONTO FINANZIARIO" xr:uid="{6FA3F00C-4DBE-B74F-84BC-520EA18163B0}"/>
    <hyperlink ref="B7" location="Pareto!A1" display="PARETO" xr:uid="{29CB4A39-BECE-7F4A-A941-1E83A326926B}"/>
    <hyperlink ref="B2" location="'bilancio cee'!A1" display="BILANCIO CEE" xr:uid="{CD7B40BA-20F8-BF4B-AA64-3A899C3BDE16}"/>
    <hyperlink ref="B5" location="'Conto economico RI'!A1" display="CONTO ECONOMICO RI" xr:uid="{C524D38D-B9BD-8545-B2AA-B2CC70ACCC3C}"/>
    <hyperlink ref="E3" location="'rendiconto OIC'!A1" display="RENDICONTO OIC" xr:uid="{5952B114-69ED-3449-B6C8-4DC4920E6C98}"/>
    <hyperlink ref="E4" location="'flussi di ccn'!A1" display="FLUSSI CCN" xr:uid="{A95672D0-D1E9-3249-84D6-FEED74C8099F}"/>
    <hyperlink ref="E6" location="'albero redditività'!A1" display="ALBERO REDDITITIVITA'" xr:uid="{C13C6D6B-BA91-AE49-AD74-E89D24B59DEA}"/>
    <hyperlink ref="E7" location="indici!A1" display="INDICI" xr:uid="{C9882C6D-45CC-1040-B398-A1BE802C3991}"/>
    <hyperlink ref="E8" location="'indicatori crisi'!A1" display="INDICI DI CRISI" xr:uid="{BAE35E43-18DA-E140-82E5-1726F3DD4C37}"/>
    <hyperlink ref="E9" location="valutazione!A1" display="VALUTAZIONE" xr:uid="{DE2C11D7-F672-5C4C-A28D-D4B2E9D68F55}"/>
    <hyperlink ref="E2" location="'rendiconto di liquidità'!A1" display="RENDICONTO DI LIQUIDITA'" xr:uid="{20FFA208-9115-3541-8C88-BE06E8BB6295}"/>
    <hyperlink ref="E5" location="'albero redditività'!A1" display="ALBERO REDDITITIVITA'" xr:uid="{8AB09780-28C1-964B-AD8E-F85BFB8D9F90}"/>
  </hyperlinks>
  <printOptions horizontalCentered="1"/>
  <pageMargins left="0" right="0" top="0.98425196850393704" bottom="0.98425196850393704" header="0.51181102362204722" footer="0.51181102362204722"/>
  <pageSetup paperSize="0" orientation="portrait" horizontalDpi="4294967292" verticalDpi="4294967292"/>
  <headerFooter alignWithMargins="0">
    <oddHeader>&amp;L&amp;CRENDICONTO FINANZIARIO&amp;R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rgb="FFFFFF00"/>
  </sheetPr>
  <dimension ref="A1:K88"/>
  <sheetViews>
    <sheetView showGridLines="0" topLeftCell="A12" zoomScale="120" zoomScaleNormal="120" workbookViewId="0">
      <pane xSplit="3" ySplit="4" topLeftCell="D28" activePane="bottomRight" state="frozen"/>
      <selection activeCell="A12" sqref="A12"/>
      <selection pane="topRight" activeCell="D12" sqref="D12"/>
      <selection pane="bottomLeft" activeCell="A16" sqref="A16"/>
      <selection pane="bottomRight" activeCell="E45" sqref="E45:E52"/>
    </sheetView>
  </sheetViews>
  <sheetFormatPr baseColWidth="10" defaultColWidth="28.6640625" defaultRowHeight="13"/>
  <cols>
    <col min="1" max="1" width="7.1640625" bestFit="1" customWidth="1"/>
    <col min="2" max="2" width="22.1640625" customWidth="1"/>
    <col min="3" max="3" width="50.33203125" customWidth="1"/>
    <col min="4" max="4" width="3.5" bestFit="1" customWidth="1"/>
    <col min="5" max="5" width="18.5" style="27" customWidth="1"/>
    <col min="6" max="6" width="33.83203125" customWidth="1"/>
    <col min="7" max="7" width="6" customWidth="1"/>
    <col min="8" max="8" width="33.6640625" customWidth="1"/>
    <col min="9" max="9" width="36.5" customWidth="1"/>
    <col min="10" max="10" width="21" customWidth="1"/>
    <col min="11" max="11" width="22" customWidth="1"/>
    <col min="12" max="12" width="6.5" customWidth="1"/>
    <col min="13" max="14" width="6" customWidth="1"/>
  </cols>
  <sheetData>
    <row r="1" spans="1:10" ht="18">
      <c r="A1" s="454"/>
      <c r="B1" s="454"/>
      <c r="E1"/>
    </row>
    <row r="2" spans="1:10" ht="18">
      <c r="A2" s="454">
        <v>1</v>
      </c>
      <c r="B2" s="663" t="s">
        <v>659</v>
      </c>
      <c r="D2" s="454">
        <v>9</v>
      </c>
      <c r="E2" s="663" t="s">
        <v>610</v>
      </c>
    </row>
    <row r="3" spans="1:10" ht="18">
      <c r="A3" s="454">
        <v>2</v>
      </c>
      <c r="B3" s="663" t="s">
        <v>607</v>
      </c>
      <c r="D3" s="454">
        <v>10</v>
      </c>
      <c r="E3" s="663" t="s">
        <v>661</v>
      </c>
    </row>
    <row r="4" spans="1:10" ht="18">
      <c r="A4" s="454">
        <v>3</v>
      </c>
      <c r="B4" s="663" t="s">
        <v>609</v>
      </c>
      <c r="D4" s="454">
        <v>11</v>
      </c>
      <c r="E4" s="663" t="s">
        <v>662</v>
      </c>
    </row>
    <row r="5" spans="1:10" ht="18">
      <c r="A5" s="454">
        <v>4</v>
      </c>
      <c r="B5" s="663" t="s">
        <v>660</v>
      </c>
      <c r="D5" s="454">
        <v>12</v>
      </c>
      <c r="E5" s="663" t="s">
        <v>663</v>
      </c>
    </row>
    <row r="6" spans="1:10" ht="18">
      <c r="A6" s="454">
        <v>5</v>
      </c>
      <c r="B6" s="663" t="s">
        <v>611</v>
      </c>
      <c r="D6" s="454">
        <v>13</v>
      </c>
      <c r="E6" s="663" t="s">
        <v>663</v>
      </c>
    </row>
    <row r="7" spans="1:10" ht="18">
      <c r="A7" s="454">
        <v>6</v>
      </c>
      <c r="B7" s="663" t="s">
        <v>613</v>
      </c>
      <c r="D7" s="454">
        <v>14</v>
      </c>
      <c r="E7" s="663" t="s">
        <v>664</v>
      </c>
    </row>
    <row r="8" spans="1:10" ht="18">
      <c r="A8" s="454">
        <v>7</v>
      </c>
      <c r="B8" s="663" t="s">
        <v>612</v>
      </c>
      <c r="D8" s="454">
        <v>15</v>
      </c>
      <c r="E8" s="663" t="s">
        <v>665</v>
      </c>
    </row>
    <row r="9" spans="1:10" ht="18">
      <c r="A9" s="454">
        <v>8</v>
      </c>
      <c r="B9" s="663" t="s">
        <v>608</v>
      </c>
      <c r="D9" s="454">
        <v>16</v>
      </c>
      <c r="E9" s="663" t="s">
        <v>666</v>
      </c>
    </row>
    <row r="13" spans="1:10" ht="30">
      <c r="C13" s="789" t="s">
        <v>188</v>
      </c>
      <c r="D13" s="789"/>
      <c r="E13" s="789"/>
      <c r="F13" s="789"/>
      <c r="H13" s="789" t="s">
        <v>189</v>
      </c>
      <c r="I13" s="789"/>
      <c r="J13" s="789"/>
    </row>
    <row r="14" spans="1:10" ht="17" thickBot="1">
      <c r="B14" s="46"/>
      <c r="C14" s="46"/>
      <c r="D14" s="46"/>
      <c r="E14" s="46"/>
      <c r="F14" s="46"/>
      <c r="G14" s="46"/>
      <c r="H14" s="237"/>
      <c r="I14" s="237"/>
    </row>
    <row r="15" spans="1:10" ht="25" thickBot="1">
      <c r="A15" s="47" t="s">
        <v>146</v>
      </c>
      <c r="B15" s="46"/>
      <c r="C15" s="245" t="s">
        <v>145</v>
      </c>
      <c r="D15" s="246"/>
      <c r="E15" s="247" t="s">
        <v>175</v>
      </c>
      <c r="F15" s="248" t="s">
        <v>176</v>
      </c>
      <c r="G15" s="46"/>
      <c r="H15" s="263"/>
      <c r="I15" s="246"/>
      <c r="J15" s="264"/>
    </row>
    <row r="16" spans="1:10" ht="25" thickBot="1">
      <c r="A16" s="46"/>
      <c r="B16" s="46" t="s">
        <v>177</v>
      </c>
      <c r="C16" s="71">
        <f>+'conto economico margine '!B14</f>
        <v>5946826</v>
      </c>
      <c r="E16" s="286">
        <v>0.1</v>
      </c>
      <c r="F16" s="71">
        <f>+C16*(1+E16)</f>
        <v>6541508.6000000006</v>
      </c>
      <c r="G16" s="46"/>
      <c r="H16" s="265" t="s">
        <v>177</v>
      </c>
      <c r="I16" s="71">
        <f>+F16</f>
        <v>6541508.6000000006</v>
      </c>
      <c r="J16" s="221"/>
    </row>
    <row r="17" spans="1:11" ht="20" thickBot="1">
      <c r="A17" s="60">
        <f>+'conto economico margine '!D19</f>
        <v>0.72165403864178979</v>
      </c>
      <c r="B17" s="46" t="s">
        <v>185</v>
      </c>
      <c r="C17" s="249">
        <f>+C16*A17</f>
        <v>4291551</v>
      </c>
      <c r="E17" s="286"/>
      <c r="F17" s="250">
        <f>+F16*(A17+E17)</f>
        <v>4720706.1000000006</v>
      </c>
      <c r="H17" s="265" t="s">
        <v>237</v>
      </c>
      <c r="I17" s="266">
        <f>+I16*J17</f>
        <v>5145199.4000000004</v>
      </c>
      <c r="J17" s="267">
        <f>+'conto economico va'!D19</f>
        <v>0.78654630217867483</v>
      </c>
    </row>
    <row r="18" spans="1:11" ht="25" thickBot="1">
      <c r="A18" s="58">
        <f>+C18/C$16</f>
        <v>0.27834596135821027</v>
      </c>
      <c r="B18" s="46" t="s">
        <v>99</v>
      </c>
      <c r="C18" s="251">
        <f>+C16-C17</f>
        <v>1655275</v>
      </c>
      <c r="E18" s="252"/>
      <c r="F18" s="250">
        <f>+F16-F17</f>
        <v>1820802.5</v>
      </c>
      <c r="G18" s="53"/>
      <c r="H18" s="265" t="s">
        <v>281</v>
      </c>
      <c r="I18" s="71">
        <f>+I16-I17</f>
        <v>1396309.2000000002</v>
      </c>
      <c r="J18" s="267">
        <f>+I18/I16</f>
        <v>0.2134536978213252</v>
      </c>
    </row>
    <row r="19" spans="1:11" s="27" customFormat="1" ht="20" thickBot="1">
      <c r="A19" s="59">
        <f>+C19/C$16</f>
        <v>0.25866252014099622</v>
      </c>
      <c r="B19" s="46" t="s">
        <v>186</v>
      </c>
      <c r="C19" s="251">
        <f>+'conto economico margine '!B39</f>
        <v>1538221</v>
      </c>
      <c r="E19" s="286"/>
      <c r="F19" s="250">
        <f>+C19*(1+E19)+F53+F54</f>
        <v>1538221</v>
      </c>
      <c r="G19" s="54"/>
      <c r="H19" s="265" t="s">
        <v>238</v>
      </c>
      <c r="I19" s="266">
        <f>+I16*J19</f>
        <v>923701.9</v>
      </c>
      <c r="J19" s="267">
        <f>+'conto economico va'!D53</f>
        <v>0.1412062501912785</v>
      </c>
    </row>
    <row r="20" spans="1:11" ht="25" thickBot="1">
      <c r="A20" s="80">
        <f>+C20/C$16</f>
        <v>1.9683441217214024E-2</v>
      </c>
      <c r="B20" s="46" t="s">
        <v>59</v>
      </c>
      <c r="C20" s="71">
        <f>+C18-C19</f>
        <v>117054</v>
      </c>
      <c r="E20" s="253"/>
      <c r="F20" s="71">
        <f>+F18-F19</f>
        <v>282581.5</v>
      </c>
      <c r="G20" s="54">
        <f>+F20/F$16</f>
        <v>4.3198215775486402E-2</v>
      </c>
      <c r="H20" s="265" t="s">
        <v>261</v>
      </c>
      <c r="I20" s="71">
        <f>+I18-I19</f>
        <v>472607.30000000016</v>
      </c>
      <c r="J20" s="267">
        <f>+I20/I$16</f>
        <v>7.2247447630046702E-2</v>
      </c>
    </row>
    <row r="21" spans="1:11" ht="19">
      <c r="A21" s="80">
        <f>+C21/C16</f>
        <v>-2.6920410988988074E-2</v>
      </c>
      <c r="B21" s="46" t="s">
        <v>295</v>
      </c>
      <c r="C21" s="254">
        <f>+'conto economico margine '!B63</f>
        <v>-160091</v>
      </c>
      <c r="D21" s="59"/>
      <c r="E21" s="253"/>
      <c r="F21" s="255">
        <f>+A21*F16*(1-E59)-F59*(J39+J35)</f>
        <v>-176100.1</v>
      </c>
      <c r="G21" s="53"/>
      <c r="H21" s="265" t="s">
        <v>104</v>
      </c>
      <c r="I21" s="266">
        <f>+'conto economico va'!C64+F53</f>
        <v>273876</v>
      </c>
      <c r="J21" s="267">
        <f>'conto economico va'!G63</f>
        <v>6.745831478086238E-2</v>
      </c>
    </row>
    <row r="22" spans="1:11" ht="20" thickBot="1">
      <c r="A22" s="80"/>
      <c r="B22" s="46"/>
      <c r="C22" s="254"/>
      <c r="D22" s="59"/>
      <c r="E22" s="253"/>
      <c r="F22" s="255"/>
      <c r="G22" s="53"/>
      <c r="H22" s="265" t="s">
        <v>105</v>
      </c>
      <c r="I22" s="266">
        <f>+'conto economico va'!C65+F54</f>
        <v>31427</v>
      </c>
      <c r="J22" s="267"/>
    </row>
    <row r="23" spans="1:11" ht="25" thickBot="1">
      <c r="B23" s="46" t="s">
        <v>95</v>
      </c>
      <c r="C23" s="254">
        <f>+C20+C21</f>
        <v>-43037</v>
      </c>
      <c r="D23" s="59"/>
      <c r="E23" s="253"/>
      <c r="F23" s="255">
        <f>+F20+F21</f>
        <v>106481.4</v>
      </c>
      <c r="G23" s="53"/>
      <c r="H23" s="265" t="s">
        <v>59</v>
      </c>
      <c r="I23" s="71">
        <f>+I20-I21-I22</f>
        <v>167304.30000000016</v>
      </c>
      <c r="J23" s="267">
        <f>+I23/I$16</f>
        <v>2.5575797607298133E-2</v>
      </c>
    </row>
    <row r="24" spans="1:11" ht="19">
      <c r="B24" s="46" t="s">
        <v>182</v>
      </c>
      <c r="C24" s="254">
        <f>+'conto economico va'!B90</f>
        <v>0.70902754165249915</v>
      </c>
      <c r="D24" s="53"/>
      <c r="E24" s="253"/>
      <c r="F24" s="255"/>
      <c r="G24" s="53"/>
      <c r="H24" s="265" t="s">
        <v>282</v>
      </c>
      <c r="I24" s="64">
        <f>+F21</f>
        <v>-176100.1</v>
      </c>
      <c r="J24" s="267"/>
    </row>
    <row r="25" spans="1:11" s="27" customFormat="1" ht="20" thickBot="1">
      <c r="B25" s="46" t="s">
        <v>96</v>
      </c>
      <c r="C25" s="251">
        <f>(IF(C23&gt;0,C24*C23,0))</f>
        <v>0</v>
      </c>
      <c r="D25" s="256"/>
      <c r="E25" s="253"/>
      <c r="F25" s="257">
        <f>C24*F23</f>
        <v>75498.245273716413</v>
      </c>
      <c r="G25" s="53"/>
      <c r="H25" s="265" t="s">
        <v>95</v>
      </c>
      <c r="I25" s="64">
        <f>+F23</f>
        <v>106481.4</v>
      </c>
      <c r="J25" s="267"/>
    </row>
    <row r="26" spans="1:11" ht="25" thickBot="1">
      <c r="A26" s="80">
        <f>+C26/C$16</f>
        <v>-7.236969771774052E-3</v>
      </c>
      <c r="B26" s="46" t="s">
        <v>137</v>
      </c>
      <c r="C26" s="71">
        <f>+C23-C25</f>
        <v>-43037</v>
      </c>
      <c r="D26" s="256"/>
      <c r="E26" s="253"/>
      <c r="F26" s="71">
        <f>+F23-F25</f>
        <v>30983.154726283581</v>
      </c>
      <c r="G26" s="54">
        <f>+F26/F$16</f>
        <v>4.7363928752281364E-3</v>
      </c>
      <c r="H26" s="265" t="s">
        <v>224</v>
      </c>
      <c r="I26" s="71">
        <f>+F26</f>
        <v>30983.154726283581</v>
      </c>
      <c r="J26" s="267">
        <f>+I26/I$16</f>
        <v>4.7363928752281364E-3</v>
      </c>
    </row>
    <row r="27" spans="1:11" ht="19">
      <c r="B27" s="46"/>
      <c r="C27" s="258"/>
      <c r="D27" s="256"/>
      <c r="E27" s="252"/>
      <c r="F27" s="257"/>
      <c r="G27" s="46"/>
      <c r="H27" s="265"/>
      <c r="J27" s="268"/>
    </row>
    <row r="28" spans="1:11" ht="20" thickBot="1">
      <c r="B28" s="46"/>
      <c r="C28" s="259"/>
      <c r="D28" s="260"/>
      <c r="E28" s="261"/>
      <c r="F28" s="262"/>
      <c r="G28" s="46"/>
      <c r="H28" s="269"/>
      <c r="I28" s="23"/>
      <c r="J28" s="270"/>
    </row>
    <row r="29" spans="1:11" ht="19">
      <c r="B29" s="46"/>
      <c r="C29" s="65"/>
      <c r="D29" s="48"/>
      <c r="E29" s="60"/>
      <c r="F29" s="62"/>
      <c r="G29" s="46"/>
      <c r="H29" s="46"/>
      <c r="J29" s="45"/>
    </row>
    <row r="30" spans="1:11" ht="18">
      <c r="B30" s="46"/>
      <c r="C30" s="790" t="s">
        <v>241</v>
      </c>
      <c r="D30" s="790"/>
      <c r="E30" s="790"/>
      <c r="F30" s="790"/>
      <c r="G30" s="46"/>
      <c r="H30" s="790" t="s">
        <v>194</v>
      </c>
      <c r="I30" s="790"/>
      <c r="J30" s="790"/>
      <c r="K30" s="790"/>
    </row>
    <row r="31" spans="1:11" ht="19">
      <c r="B31" s="46"/>
      <c r="C31" s="65"/>
      <c r="D31" s="48"/>
      <c r="E31" s="60"/>
      <c r="F31" s="62"/>
      <c r="G31" s="46"/>
      <c r="H31" s="46"/>
      <c r="J31" s="45"/>
    </row>
    <row r="32" spans="1:11" ht="20" thickBot="1">
      <c r="B32" s="46"/>
      <c r="C32" s="65"/>
      <c r="D32" s="48"/>
      <c r="E32" s="60" t="s">
        <v>274</v>
      </c>
      <c r="F32" s="62"/>
      <c r="G32" s="46"/>
      <c r="H32" s="46"/>
      <c r="J32" s="60" t="s">
        <v>274</v>
      </c>
    </row>
    <row r="33" spans="2:11" ht="19">
      <c r="B33" s="263" t="s">
        <v>233</v>
      </c>
      <c r="C33" s="271">
        <f>+'Stato patrimoniale'!D15</f>
        <v>5131350</v>
      </c>
      <c r="D33" s="272"/>
      <c r="E33" s="288"/>
      <c r="F33" s="273">
        <f>+C33+E33-I21</f>
        <v>4857474</v>
      </c>
      <c r="H33" s="263" t="s">
        <v>141</v>
      </c>
      <c r="I33" s="281">
        <f>+'Stato patrimoniale'!H15</f>
        <v>2610125</v>
      </c>
      <c r="J33" s="282">
        <f>+K33-I33</f>
        <v>30983.154726283625</v>
      </c>
      <c r="K33" s="273">
        <f>+I33+F26-I45</f>
        <v>2641108.1547262836</v>
      </c>
    </row>
    <row r="34" spans="2:11" ht="19">
      <c r="B34" s="265" t="s">
        <v>242</v>
      </c>
      <c r="C34" s="274">
        <f>+'Stato patrimoniale'!D24</f>
        <v>46089</v>
      </c>
      <c r="D34" s="256"/>
      <c r="E34" s="287"/>
      <c r="F34" s="257">
        <f>+C34+E34-I22</f>
        <v>14662</v>
      </c>
      <c r="H34" s="265" t="s">
        <v>193</v>
      </c>
      <c r="I34" s="283">
        <f>+'Stato patrimoniale'!H24</f>
        <v>372166</v>
      </c>
      <c r="J34" s="287"/>
      <c r="K34" s="257">
        <f>+I34+J34</f>
        <v>372166</v>
      </c>
    </row>
    <row r="35" spans="2:11" ht="19">
      <c r="B35" s="265" t="s">
        <v>248</v>
      </c>
      <c r="C35" s="274">
        <f>+'Stato patrimoniale'!D38</f>
        <v>20943</v>
      </c>
      <c r="D35" s="256"/>
      <c r="E35" s="287"/>
      <c r="F35" s="257">
        <f>+C35+E35</f>
        <v>20943</v>
      </c>
      <c r="H35" s="265" t="s">
        <v>47</v>
      </c>
      <c r="I35" s="283">
        <f>+'Stato patrimoniale'!H41</f>
        <v>1960835</v>
      </c>
      <c r="J35" s="287"/>
      <c r="K35" s="257">
        <f>+I35+J35</f>
        <v>1960835</v>
      </c>
    </row>
    <row r="36" spans="2:11" ht="19">
      <c r="B36" s="275" t="s">
        <v>211</v>
      </c>
      <c r="C36" s="276">
        <f>SUM(C33:C35)</f>
        <v>5198382</v>
      </c>
      <c r="F36" s="277">
        <f>SUM(F33:F35)</f>
        <v>4893079</v>
      </c>
      <c r="H36" s="275" t="s">
        <v>18</v>
      </c>
      <c r="I36" s="276">
        <f>SUM(I33:I35)</f>
        <v>4943126</v>
      </c>
      <c r="K36" s="277">
        <f>SUM(K33:K35)</f>
        <v>4974109.1547262836</v>
      </c>
    </row>
    <row r="37" spans="2:11" ht="19">
      <c r="B37" s="265" t="s">
        <v>107</v>
      </c>
      <c r="C37" s="274">
        <f>+'Stato patrimoniale'!D47</f>
        <v>1374930</v>
      </c>
      <c r="D37" s="256"/>
      <c r="E37" s="64">
        <f>+F37-C37</f>
        <v>82980.428333333693</v>
      </c>
      <c r="F37" s="257">
        <f>+F16*(C45+E45)/360</f>
        <v>1457910.4283333337</v>
      </c>
      <c r="H37" s="265" t="s">
        <v>278</v>
      </c>
      <c r="I37" s="283">
        <f>+'Stato patrimoniale'!H48</f>
        <v>2600999</v>
      </c>
      <c r="J37" s="64">
        <f>+K37-I37</f>
        <v>302976.561666667</v>
      </c>
      <c r="K37" s="284">
        <f>+I17*(C51+E51)/360</f>
        <v>2903975.561666667</v>
      </c>
    </row>
    <row r="38" spans="2:11" ht="19">
      <c r="B38" s="265" t="s">
        <v>181</v>
      </c>
      <c r="C38" s="274">
        <f>+'Stato patrimoniale'!D50</f>
        <v>496422</v>
      </c>
      <c r="E38" s="64">
        <f>+F38-C38</f>
        <v>49642.20000000007</v>
      </c>
      <c r="F38" s="257">
        <f>+F16/C47</f>
        <v>546064.20000000007</v>
      </c>
      <c r="H38" s="265" t="s">
        <v>134</v>
      </c>
      <c r="I38" s="283">
        <f>+'Stato patrimoniale'!H47-'albero redditività'!I37</f>
        <v>1252065</v>
      </c>
      <c r="J38" s="64">
        <f>+K38-I38</f>
        <v>125206.5</v>
      </c>
      <c r="K38" s="257">
        <f>+I17/C52</f>
        <v>1377271.5</v>
      </c>
    </row>
    <row r="39" spans="2:11" ht="19">
      <c r="B39" s="265" t="s">
        <v>183</v>
      </c>
      <c r="C39" s="274">
        <f>+'Stato patrimoniale'!D56</f>
        <v>3298965</v>
      </c>
      <c r="D39" s="256"/>
      <c r="E39" s="64">
        <f>+F39-C39</f>
        <v>264331.13750000019</v>
      </c>
      <c r="F39" s="257">
        <f>+F49*F48</f>
        <v>3563296.1375000002</v>
      </c>
      <c r="H39" s="265" t="s">
        <v>290</v>
      </c>
      <c r="I39" s="283">
        <f>+'Stato patrimoniale'!H61</f>
        <v>1581767</v>
      </c>
      <c r="J39" s="287"/>
      <c r="K39" s="257">
        <f>+I39+J39</f>
        <v>1581767</v>
      </c>
    </row>
    <row r="40" spans="2:11" ht="19">
      <c r="B40" s="265" t="s">
        <v>44</v>
      </c>
      <c r="C40" s="274">
        <f>+'Stato patrimoniale'!D61</f>
        <v>9258</v>
      </c>
      <c r="D40" s="256"/>
      <c r="E40" s="64">
        <f>+E88-J39-J35</f>
        <v>367515.45055961667</v>
      </c>
      <c r="F40" s="257">
        <f>+C40+E40</f>
        <v>376773.45055961667</v>
      </c>
      <c r="G40" s="46"/>
      <c r="H40" s="7"/>
      <c r="J40" s="287"/>
      <c r="K40" s="221"/>
    </row>
    <row r="41" spans="2:11" ht="19">
      <c r="B41" s="275" t="s">
        <v>21</v>
      </c>
      <c r="C41" s="276">
        <f>SUM(C37:C40)</f>
        <v>5179575</v>
      </c>
      <c r="D41" s="256"/>
      <c r="E41" s="64"/>
      <c r="F41" s="277">
        <f>SUM(F37:F40)</f>
        <v>5944044.2163929511</v>
      </c>
      <c r="G41" s="46"/>
      <c r="H41" s="275" t="s">
        <v>20</v>
      </c>
      <c r="I41" s="276">
        <f>SUM(I37:I39)</f>
        <v>5434831</v>
      </c>
      <c r="J41" s="92"/>
      <c r="K41" s="277">
        <f>SUM(K37:K39)</f>
        <v>5863014.0616666675</v>
      </c>
    </row>
    <row r="42" spans="2:11" ht="20" thickBot="1">
      <c r="B42" s="278" t="s">
        <v>22</v>
      </c>
      <c r="C42" s="279">
        <f>+C41+C36</f>
        <v>10377957</v>
      </c>
      <c r="D42" s="260"/>
      <c r="E42" s="261"/>
      <c r="F42" s="280">
        <f>+F41+F36</f>
        <v>10837123.216392951</v>
      </c>
      <c r="G42" s="46"/>
      <c r="H42" s="278" t="s">
        <v>23</v>
      </c>
      <c r="I42" s="279">
        <f>+I41+I36</f>
        <v>10377957</v>
      </c>
      <c r="J42" s="285"/>
      <c r="K42" s="280">
        <f>+K41+K36</f>
        <v>10837123.216392951</v>
      </c>
    </row>
    <row r="43" spans="2:11" ht="19">
      <c r="B43" s="46"/>
      <c r="C43" s="238"/>
      <c r="D43" s="48"/>
      <c r="E43" s="60"/>
      <c r="F43" s="62"/>
      <c r="G43" s="46"/>
      <c r="H43" s="46"/>
      <c r="J43" s="45"/>
      <c r="K43" s="29"/>
    </row>
    <row r="44" spans="2:11" ht="19">
      <c r="B44" s="46"/>
      <c r="C44" s="238"/>
      <c r="D44" s="48"/>
      <c r="E44" s="60"/>
      <c r="F44" s="62"/>
      <c r="G44" s="46"/>
      <c r="H44" s="46"/>
      <c r="J44" s="45"/>
    </row>
    <row r="45" spans="2:11" s="171" customFormat="1" ht="19">
      <c r="B45" s="46" t="s">
        <v>108</v>
      </c>
      <c r="C45" s="238">
        <f>+'Stato patrimoniale'!D83</f>
        <v>83.233442512022393</v>
      </c>
      <c r="D45" s="49"/>
      <c r="E45" s="287">
        <v>-3</v>
      </c>
      <c r="F45" s="62">
        <f>+C45+E45</f>
        <v>80.233442512022393</v>
      </c>
      <c r="H45" s="46" t="s">
        <v>195</v>
      </c>
      <c r="I45" s="286"/>
    </row>
    <row r="46" spans="2:11" s="27" customFormat="1" ht="19">
      <c r="B46" s="46" t="s">
        <v>109</v>
      </c>
      <c r="C46" s="238">
        <v>0</v>
      </c>
      <c r="D46" s="52"/>
      <c r="E46" s="332"/>
      <c r="F46" s="62">
        <f>+F37*E46</f>
        <v>0</v>
      </c>
      <c r="G46" s="46"/>
      <c r="H46" s="46"/>
      <c r="J46" s="83"/>
    </row>
    <row r="47" spans="2:11" s="27" customFormat="1" ht="19">
      <c r="B47" s="46" t="s">
        <v>106</v>
      </c>
      <c r="C47" s="238">
        <f>+C16/C38</f>
        <v>11.979376417644666</v>
      </c>
      <c r="E47" s="333"/>
      <c r="G47" s="46"/>
      <c r="H47" s="46"/>
    </row>
    <row r="48" spans="2:11" s="27" customFormat="1" ht="19">
      <c r="B48" s="46" t="s">
        <v>100</v>
      </c>
      <c r="C48" s="238">
        <f>+C39/C49</f>
        <v>276.73617300598312</v>
      </c>
      <c r="D48" s="55"/>
      <c r="E48" s="287">
        <v>-5</v>
      </c>
      <c r="F48" s="68">
        <f>+C48+E48</f>
        <v>271.73617300598312</v>
      </c>
      <c r="G48" s="46"/>
      <c r="H48" s="49"/>
    </row>
    <row r="49" spans="2:8" s="27" customFormat="1" ht="19">
      <c r="B49" s="46" t="s">
        <v>101</v>
      </c>
      <c r="C49" s="238">
        <f>+C17/360</f>
        <v>11920.975</v>
      </c>
      <c r="D49" s="49"/>
      <c r="E49" s="331"/>
      <c r="F49" s="63">
        <f>+F17/360</f>
        <v>13113.072500000002</v>
      </c>
      <c r="G49" s="46"/>
      <c r="H49" s="49"/>
    </row>
    <row r="50" spans="2:8" s="27" customFormat="1" ht="19">
      <c r="B50" s="46" t="s">
        <v>97</v>
      </c>
      <c r="C50" s="238">
        <f>+C16/C39</f>
        <v>1.8026338563761664</v>
      </c>
      <c r="D50" s="46"/>
      <c r="E50" s="331"/>
      <c r="F50" s="69">
        <f>+F16/F39</f>
        <v>1.8358026803210095</v>
      </c>
      <c r="G50" s="46"/>
      <c r="H50" s="49"/>
    </row>
    <row r="51" spans="2:8" s="239" customFormat="1" ht="19">
      <c r="B51" s="46" t="s">
        <v>212</v>
      </c>
      <c r="C51" s="67">
        <f>+'Stato patrimoniale'!D85</f>
        <v>200.18575062416437</v>
      </c>
      <c r="D51" s="56"/>
      <c r="E51" s="287">
        <v>3</v>
      </c>
      <c r="F51" s="68">
        <f>+C51+E51</f>
        <v>203.18575062416437</v>
      </c>
      <c r="G51" s="240"/>
    </row>
    <row r="52" spans="2:8" s="27" customFormat="1" ht="19">
      <c r="B52" s="46" t="s">
        <v>19</v>
      </c>
      <c r="C52" s="67">
        <f>+'conto economico va'!B19/'albero redditività'!I38</f>
        <v>3.7357916721575957</v>
      </c>
      <c r="D52"/>
      <c r="E52" s="331"/>
      <c r="F52"/>
      <c r="G52" s="46"/>
      <c r="H52" s="241"/>
    </row>
    <row r="53" spans="2:8" ht="19">
      <c r="B53" s="46" t="s">
        <v>24</v>
      </c>
      <c r="C53" s="238">
        <v>10</v>
      </c>
      <c r="E53" s="289"/>
      <c r="F53" s="62">
        <f>+E33/C53</f>
        <v>0</v>
      </c>
      <c r="G53" s="46"/>
      <c r="H53" s="46"/>
    </row>
    <row r="54" spans="2:8" ht="19">
      <c r="B54" s="46" t="s">
        <v>25</v>
      </c>
      <c r="C54" s="238">
        <v>5</v>
      </c>
      <c r="E54" s="289"/>
      <c r="F54" s="62">
        <f>+E34/C54</f>
        <v>0</v>
      </c>
      <c r="G54" s="46"/>
      <c r="H54" s="51"/>
    </row>
    <row r="55" spans="2:8" ht="19">
      <c r="B55" s="46" t="s">
        <v>148</v>
      </c>
      <c r="C55" s="62">
        <f>+'Stato patrimoniale'!D71</f>
        <v>6152727</v>
      </c>
      <c r="D55" s="48"/>
      <c r="E55" s="334"/>
      <c r="F55" s="81">
        <f>+F42-K34-K37-K38</f>
        <v>6183710.1547262836</v>
      </c>
      <c r="G55" s="46"/>
    </row>
    <row r="56" spans="2:8" ht="19">
      <c r="B56" s="46" t="s">
        <v>54</v>
      </c>
      <c r="C56" s="62">
        <f>+C16/C55</f>
        <v>0.96653500147170512</v>
      </c>
      <c r="D56" s="48"/>
      <c r="E56" s="331"/>
      <c r="F56" s="62">
        <f>+F16/F55</f>
        <v>1.0578614515106675</v>
      </c>
      <c r="G56" s="46"/>
      <c r="H56" s="46"/>
    </row>
    <row r="57" spans="2:8" ht="19">
      <c r="B57" s="46" t="s">
        <v>149</v>
      </c>
      <c r="C57" s="66">
        <f>+C20/C55</f>
        <v>1.9024734885848178E-2</v>
      </c>
      <c r="D57" s="52"/>
      <c r="E57" s="331"/>
      <c r="F57" s="66">
        <f>+F20/F55</f>
        <v>4.5697727242927061E-2</v>
      </c>
    </row>
    <row r="58" spans="2:8" ht="19">
      <c r="B58" s="46" t="s">
        <v>150</v>
      </c>
      <c r="C58" s="70">
        <f>+C26/I33</f>
        <v>-1.6488482352377761E-2</v>
      </c>
      <c r="D58" s="50"/>
      <c r="E58" s="333"/>
      <c r="F58" s="66">
        <f>+(F26)/(K33)</f>
        <v>1.1731119254180857E-2</v>
      </c>
      <c r="G58" s="46"/>
      <c r="H58" s="46"/>
    </row>
    <row r="59" spans="2:8" ht="19">
      <c r="B59" s="46" t="s">
        <v>172</v>
      </c>
      <c r="C59" s="70">
        <f>+'Stato patrimoniale'!D92</f>
        <v>-4.4286374817154174E-2</v>
      </c>
      <c r="D59" s="46"/>
      <c r="E59" s="82"/>
      <c r="F59" s="66">
        <f>+E59+C59</f>
        <v>-4.4286374817154174E-2</v>
      </c>
      <c r="G59" s="46"/>
      <c r="H59" s="46"/>
    </row>
    <row r="60" spans="2:8" ht="19">
      <c r="B60" s="46" t="s">
        <v>260</v>
      </c>
      <c r="C60" s="64">
        <f>+(I35+I39)/I33</f>
        <v>1.3572537713711028</v>
      </c>
      <c r="D60" s="46"/>
      <c r="E60" s="61"/>
      <c r="F60" s="64">
        <f>+(K35+K39)/K33</f>
        <v>1.3413316655209617</v>
      </c>
      <c r="G60" s="46"/>
      <c r="H60" s="46"/>
    </row>
    <row r="61" spans="2:8" s="36" customFormat="1" ht="19">
      <c r="C61" s="64"/>
      <c r="E61" s="84"/>
      <c r="F61" s="64"/>
      <c r="G61" s="51"/>
      <c r="H61" s="46"/>
    </row>
    <row r="62" spans="2:8" ht="16">
      <c r="F62" s="46"/>
      <c r="G62" s="46"/>
      <c r="H62" s="46"/>
    </row>
    <row r="63" spans="2:8" ht="17" thickBot="1">
      <c r="B63" s="46"/>
      <c r="C63" s="46"/>
      <c r="D63" s="57"/>
      <c r="E63" s="46"/>
      <c r="F63" s="46"/>
      <c r="G63" s="46"/>
      <c r="H63" s="46"/>
    </row>
    <row r="64" spans="2:8" ht="19">
      <c r="B64" s="72" t="s">
        <v>178</v>
      </c>
      <c r="C64" s="73" t="s">
        <v>138</v>
      </c>
      <c r="D64" s="74"/>
      <c r="E64" s="75" t="s">
        <v>149</v>
      </c>
      <c r="F64" s="46"/>
      <c r="G64" s="46"/>
      <c r="H64" s="46"/>
    </row>
    <row r="65" spans="2:8" ht="25" thickBot="1">
      <c r="B65" s="76">
        <f>+G20</f>
        <v>4.3198215775486402E-2</v>
      </c>
      <c r="C65" s="79">
        <f>+F56</f>
        <v>1.0578614515106675</v>
      </c>
      <c r="D65" s="77" t="s">
        <v>240</v>
      </c>
      <c r="E65" s="78">
        <f>+B65*C65</f>
        <v>4.5697727242927061E-2</v>
      </c>
      <c r="F65" s="46"/>
      <c r="G65" s="46"/>
      <c r="H65" s="46"/>
    </row>
    <row r="66" spans="2:8" ht="16">
      <c r="B66" s="46"/>
      <c r="C66" s="46"/>
      <c r="D66" s="46"/>
      <c r="E66" s="46"/>
      <c r="F66" s="46"/>
      <c r="G66" s="46"/>
      <c r="H66" s="46"/>
    </row>
    <row r="67" spans="2:8" ht="16">
      <c r="B67" s="46"/>
      <c r="C67" s="46"/>
      <c r="D67" s="46"/>
      <c r="E67" s="46"/>
      <c r="F67" s="46"/>
      <c r="G67" s="46"/>
      <c r="H67" s="46"/>
    </row>
    <row r="68" spans="2:8" ht="16">
      <c r="C68" s="46" t="s">
        <v>224</v>
      </c>
      <c r="D68" s="54"/>
      <c r="E68" s="243">
        <f>+I26</f>
        <v>30983.154726283581</v>
      </c>
      <c r="F68" s="57"/>
      <c r="G68" s="50"/>
      <c r="H68" s="46"/>
    </row>
    <row r="69" spans="2:8" ht="16">
      <c r="B69" s="46"/>
      <c r="C69" s="46" t="s">
        <v>24</v>
      </c>
      <c r="D69" s="54"/>
      <c r="E69" s="243">
        <f>+I21</f>
        <v>273876</v>
      </c>
      <c r="F69" s="46"/>
      <c r="G69" s="52"/>
      <c r="H69" s="46"/>
    </row>
    <row r="70" spans="2:8" ht="16">
      <c r="B70" s="46"/>
      <c r="C70" s="46" t="s">
        <v>25</v>
      </c>
      <c r="D70" s="46"/>
      <c r="E70" s="243">
        <f>+I22</f>
        <v>31427</v>
      </c>
      <c r="F70" s="51"/>
      <c r="G70" s="46"/>
      <c r="H70" s="46"/>
    </row>
    <row r="71" spans="2:8" ht="16">
      <c r="B71" s="46"/>
      <c r="C71" s="46" t="s">
        <v>270</v>
      </c>
      <c r="D71" s="46"/>
      <c r="E71" s="243"/>
      <c r="F71" s="46"/>
      <c r="G71" s="46"/>
      <c r="H71" s="46"/>
    </row>
    <row r="72" spans="2:8" ht="16">
      <c r="C72" s="242" t="s">
        <v>271</v>
      </c>
      <c r="D72" s="237"/>
      <c r="E72" s="244">
        <f>SUM(E68:E71)</f>
        <v>336286.15472628357</v>
      </c>
      <c r="G72" s="32"/>
    </row>
    <row r="73" spans="2:8" ht="16">
      <c r="E73" s="243"/>
    </row>
    <row r="74" spans="2:8" ht="16">
      <c r="C74" s="46" t="s">
        <v>107</v>
      </c>
      <c r="E74" s="243">
        <f>-E37</f>
        <v>-82980.428333333693</v>
      </c>
    </row>
    <row r="75" spans="2:8" ht="16">
      <c r="C75" s="46" t="s">
        <v>181</v>
      </c>
      <c r="E75" s="243">
        <f>-E38</f>
        <v>-49642.20000000007</v>
      </c>
    </row>
    <row r="76" spans="2:8" ht="16">
      <c r="C76" s="46" t="s">
        <v>183</v>
      </c>
      <c r="E76" s="243">
        <f>-E39</f>
        <v>-264331.13750000019</v>
      </c>
    </row>
    <row r="77" spans="2:8" ht="16">
      <c r="C77" s="46" t="s">
        <v>257</v>
      </c>
      <c r="E77" s="243">
        <f>+J37+J38</f>
        <v>428183.061666667</v>
      </c>
    </row>
    <row r="78" spans="2:8" ht="16">
      <c r="E78" s="243"/>
    </row>
    <row r="79" spans="2:8" ht="16">
      <c r="C79" s="242" t="s">
        <v>272</v>
      </c>
      <c r="D79" s="237"/>
      <c r="E79" s="244">
        <f>SUM(E74:E78)</f>
        <v>31229.295833333046</v>
      </c>
      <c r="F79" s="495">
        <f>+E72+E79</f>
        <v>367515.45055961661</v>
      </c>
    </row>
    <row r="81" spans="3:5" ht="16">
      <c r="C81" t="s">
        <v>273</v>
      </c>
      <c r="E81" s="243">
        <f>-E33</f>
        <v>0</v>
      </c>
    </row>
    <row r="82" spans="3:5" ht="16">
      <c r="C82" t="s">
        <v>242</v>
      </c>
      <c r="E82" s="243">
        <f>-E34</f>
        <v>0</v>
      </c>
    </row>
    <row r="83" spans="3:5" ht="16">
      <c r="C83" t="s">
        <v>197</v>
      </c>
      <c r="E83" s="243">
        <f>+J33-E68</f>
        <v>4.3655745685100555E-11</v>
      </c>
    </row>
    <row r="84" spans="3:5" ht="16">
      <c r="C84" t="s">
        <v>48</v>
      </c>
      <c r="E84" s="243">
        <f>+J34</f>
        <v>0</v>
      </c>
    </row>
    <row r="85" spans="3:5" ht="16">
      <c r="E85" s="243"/>
    </row>
    <row r="86" spans="3:5" ht="16">
      <c r="C86" s="242" t="s">
        <v>49</v>
      </c>
      <c r="D86" s="237"/>
      <c r="E86" s="244">
        <f>SUM(E81:E85)</f>
        <v>4.3655745685100555E-11</v>
      </c>
    </row>
    <row r="87" spans="3:5" ht="16">
      <c r="E87" s="243"/>
    </row>
    <row r="88" spans="3:5" ht="16">
      <c r="C88" s="242" t="s">
        <v>50</v>
      </c>
      <c r="D88" s="237"/>
      <c r="E88" s="244">
        <f>+E72+E79+E86</f>
        <v>367515.45055961667</v>
      </c>
    </row>
  </sheetData>
  <mergeCells count="4">
    <mergeCell ref="C13:F13"/>
    <mergeCell ref="C30:F30"/>
    <mergeCell ref="H30:K30"/>
    <mergeCell ref="H13:J13"/>
  </mergeCells>
  <phoneticPr fontId="11"/>
  <hyperlinks>
    <hyperlink ref="B3" location="'conto economico va'!C4" display="CONTO ECONOMICO A VALORE AGGIUNTO" xr:uid="{6E279DAB-96CD-4242-83FB-E233C9B0EF31}"/>
    <hyperlink ref="B4" location="'conto economico margine '!C4" display="CONTO ECONOMICO A MARGINE DI CONTRIBUZIONE" xr:uid="{C6436075-CE41-9D45-8641-C27FCD9CFC8A}"/>
    <hyperlink ref="B6" location="'break even'!C4" display="BREAK EVEN" xr:uid="{EA2BAB46-3125-984E-A8AD-999A758161BB}"/>
    <hyperlink ref="B8" location="'stato patrimoniale'!C4" display="STATO PATRIMONIALE" xr:uid="{99A3F6A1-CF61-E040-811E-C8AB52B4E167}"/>
    <hyperlink ref="B9" location="'rendiconto finanziario'!A1" display="RENDICONTO FINANZIARIO" xr:uid="{AAF8FC5A-7DEA-8A40-91D2-407853EF7291}"/>
    <hyperlink ref="B7" location="Pareto!A1" display="PARETO" xr:uid="{F2DD780A-F28B-6E46-9B6A-665C716A7522}"/>
    <hyperlink ref="B2" location="'bilancio cee'!A1" display="BILANCIO CEE" xr:uid="{F2C4D2D9-381B-1342-89F9-07D68CA28FB9}"/>
    <hyperlink ref="B5" location="'Conto economico RI'!A1" display="CONTO ECONOMICO RI" xr:uid="{DECC8FBD-EB97-9148-8D7D-C0C0AFD66229}"/>
    <hyperlink ref="E3" location="'rendiconto OIC'!A1" display="RENDICONTO OIC" xr:uid="{E6F67E9F-B629-6147-9E97-01CF1BDCCC6A}"/>
    <hyperlink ref="E4" location="'flussi di ccn'!A1" display="FLUSSI CCN" xr:uid="{BC1E1C0A-5C60-484B-8C0B-C621D1AD1206}"/>
    <hyperlink ref="E6" location="'albero redditività'!A1" display="ALBERO REDDITITIVITA'" xr:uid="{B7B89D15-5E7D-D540-B508-43958BDA6363}"/>
    <hyperlink ref="E7" location="indici!A1" display="INDICI" xr:uid="{6704F3D8-09C5-ED48-82B5-A4B4DE978613}"/>
    <hyperlink ref="E8" location="'indicatori crisi'!A1" display="INDICI DI CRISI" xr:uid="{F16B0107-D4B8-C540-9908-B9E00BFF2521}"/>
    <hyperlink ref="E9" location="valutazione!A1" display="VALUTAZIONE" xr:uid="{946F873B-8FDC-3543-8E75-1FF43F7D8F30}"/>
    <hyperlink ref="E2" location="'rendiconto di liquidità'!A1" display="RENDICONTO DI LIQUIDITA'" xr:uid="{5F254A96-F3C4-A040-99C9-7C9A68CEC6C1}"/>
    <hyperlink ref="E5" location="'albero redditività'!A1" display="ALBERO REDDITITIVITA'" xr:uid="{A31D77AE-21A8-4448-AAD5-498BF9BAC51A}"/>
  </hyperlinks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624E2-AA28-A242-BE2B-9C9AD56EB6DD}">
  <dimension ref="A1:Y241"/>
  <sheetViews>
    <sheetView showGridLines="0" topLeftCell="A2" zoomScaleNormal="100" workbookViewId="0">
      <selection activeCell="F18" sqref="F18"/>
    </sheetView>
  </sheetViews>
  <sheetFormatPr baseColWidth="10" defaultColWidth="11.5" defaultRowHeight="12"/>
  <cols>
    <col min="1" max="1" width="16" customWidth="1"/>
    <col min="2" max="2" width="31.5" customWidth="1"/>
    <col min="3" max="3" width="22" customWidth="1"/>
    <col min="4" max="4" width="13.83203125" customWidth="1"/>
    <col min="5" max="9" width="14.5" customWidth="1"/>
    <col min="10" max="10" width="13.33203125" customWidth="1"/>
    <col min="11" max="11" width="13" bestFit="1" customWidth="1"/>
    <col min="12" max="12" width="29.33203125" customWidth="1"/>
    <col min="13" max="13" width="18.83203125" customWidth="1"/>
    <col min="14" max="14" width="12.6640625" customWidth="1"/>
    <col min="15" max="15" width="14.1640625" customWidth="1"/>
    <col min="16" max="16" width="13.83203125" customWidth="1"/>
    <col min="17" max="17" width="12.6640625" customWidth="1"/>
    <col min="18" max="18" width="14.83203125" customWidth="1"/>
    <col min="19" max="19" width="16.5" bestFit="1" customWidth="1"/>
  </cols>
  <sheetData>
    <row r="1" spans="1:15" ht="18">
      <c r="A1" s="454"/>
      <c r="B1" s="454"/>
      <c r="F1" s="171"/>
    </row>
    <row r="2" spans="1:15" ht="18">
      <c r="A2" s="454">
        <v>1</v>
      </c>
      <c r="B2" s="663" t="s">
        <v>659</v>
      </c>
      <c r="D2" s="454">
        <v>9</v>
      </c>
      <c r="E2" s="663" t="s">
        <v>610</v>
      </c>
      <c r="F2" s="171"/>
    </row>
    <row r="3" spans="1:15" ht="18">
      <c r="A3" s="454">
        <v>2</v>
      </c>
      <c r="B3" s="663" t="s">
        <v>607</v>
      </c>
      <c r="D3" s="454">
        <v>10</v>
      </c>
      <c r="E3" s="663" t="s">
        <v>661</v>
      </c>
      <c r="F3" s="171"/>
    </row>
    <row r="4" spans="1:15" ht="18">
      <c r="A4" s="454">
        <v>3</v>
      </c>
      <c r="B4" s="663" t="s">
        <v>609</v>
      </c>
      <c r="D4" s="454">
        <v>11</v>
      </c>
      <c r="E4" s="663" t="s">
        <v>662</v>
      </c>
      <c r="F4" s="171"/>
    </row>
    <row r="5" spans="1:15" ht="18">
      <c r="A5" s="454">
        <v>4</v>
      </c>
      <c r="B5" s="663" t="s">
        <v>660</v>
      </c>
      <c r="D5" s="454">
        <v>12</v>
      </c>
      <c r="E5" s="663" t="s">
        <v>663</v>
      </c>
      <c r="F5" s="171"/>
      <c r="N5" s="2" t="s">
        <v>731</v>
      </c>
      <c r="O5" s="2"/>
    </row>
    <row r="6" spans="1:15" ht="18">
      <c r="A6" s="454">
        <v>5</v>
      </c>
      <c r="B6" s="663" t="s">
        <v>611</v>
      </c>
      <c r="D6" s="454">
        <v>13</v>
      </c>
      <c r="E6" s="663" t="s">
        <v>663</v>
      </c>
      <c r="F6" s="171"/>
      <c r="N6" s="2">
        <v>0</v>
      </c>
      <c r="O6" s="2">
        <v>1</v>
      </c>
    </row>
    <row r="7" spans="1:15" ht="18">
      <c r="A7" s="454">
        <v>6</v>
      </c>
      <c r="B7" s="663" t="s">
        <v>613</v>
      </c>
      <c r="D7" s="454">
        <v>14</v>
      </c>
      <c r="E7" s="663" t="s">
        <v>664</v>
      </c>
      <c r="F7" s="171"/>
      <c r="N7" s="2">
        <v>1</v>
      </c>
      <c r="O7" s="2">
        <v>3</v>
      </c>
    </row>
    <row r="8" spans="1:15" ht="18">
      <c r="A8" s="454">
        <v>7</v>
      </c>
      <c r="B8" s="663" t="s">
        <v>612</v>
      </c>
      <c r="D8" s="454">
        <v>15</v>
      </c>
      <c r="E8" s="663" t="s">
        <v>665</v>
      </c>
      <c r="F8" s="171"/>
    </row>
    <row r="9" spans="1:15" ht="18">
      <c r="A9" s="454">
        <v>8</v>
      </c>
      <c r="B9" s="663" t="s">
        <v>608</v>
      </c>
      <c r="D9" s="454">
        <v>16</v>
      </c>
      <c r="E9" s="663" t="s">
        <v>666</v>
      </c>
      <c r="F9" s="171"/>
    </row>
    <row r="10" spans="1:15" ht="13">
      <c r="A10" s="171"/>
      <c r="B10" s="609"/>
      <c r="C10" s="171"/>
      <c r="D10" s="646"/>
      <c r="E10" s="647"/>
      <c r="F10" s="171"/>
    </row>
    <row r="11" spans="1:15" ht="13">
      <c r="A11" s="171"/>
      <c r="B11" s="609"/>
      <c r="C11" s="171"/>
      <c r="D11" s="646"/>
      <c r="E11" s="647"/>
      <c r="F11" s="171"/>
    </row>
    <row r="12" spans="1:15" ht="13">
      <c r="A12" s="171"/>
      <c r="B12" s="609"/>
      <c r="C12" s="171"/>
      <c r="D12" s="646"/>
      <c r="E12" s="647"/>
      <c r="F12" s="171"/>
    </row>
    <row r="17" spans="1:18">
      <c r="E17" s="93"/>
    </row>
    <row r="19" spans="1:18">
      <c r="E19" s="93"/>
    </row>
    <row r="21" spans="1:18" ht="13">
      <c r="D21" s="648" t="s">
        <v>658</v>
      </c>
      <c r="E21" s="596">
        <v>14</v>
      </c>
      <c r="F21" s="596">
        <v>14</v>
      </c>
      <c r="G21" s="596">
        <v>15</v>
      </c>
      <c r="H21" s="649"/>
      <c r="I21" s="649"/>
      <c r="J21" s="649"/>
      <c r="K21" s="649"/>
      <c r="L21" s="649"/>
    </row>
    <row r="23" spans="1:18" ht="18">
      <c r="A23" s="650" t="s">
        <v>614</v>
      </c>
      <c r="B23" s="651" t="s">
        <v>615</v>
      </c>
      <c r="C23" s="652" t="s">
        <v>616</v>
      </c>
      <c r="D23" s="653" t="s">
        <v>617</v>
      </c>
      <c r="E23" s="654" t="s">
        <v>650</v>
      </c>
      <c r="F23" s="654" t="s">
        <v>651</v>
      </c>
      <c r="G23" s="654" t="s">
        <v>652</v>
      </c>
      <c r="H23" s="654" t="s">
        <v>653</v>
      </c>
      <c r="I23" s="654" t="s">
        <v>654</v>
      </c>
      <c r="J23" s="654" t="s">
        <v>655</v>
      </c>
      <c r="K23" s="654" t="s">
        <v>656</v>
      </c>
      <c r="L23" s="654" t="s">
        <v>657</v>
      </c>
      <c r="M23" s="3"/>
      <c r="N23" s="3"/>
      <c r="O23" s="3"/>
      <c r="P23" s="3"/>
      <c r="Q23" s="3"/>
      <c r="R23" s="3"/>
    </row>
    <row r="24" spans="1:18">
      <c r="A24" s="655" t="s">
        <v>190</v>
      </c>
      <c r="B24" s="655" t="s">
        <v>191</v>
      </c>
      <c r="C24" s="655" t="s">
        <v>199</v>
      </c>
      <c r="D24" s="655" t="s">
        <v>149</v>
      </c>
      <c r="E24" s="656">
        <f>+'Stato patrimoniale'!B79</f>
        <v>2.7521329573388636E-2</v>
      </c>
      <c r="F24" s="656">
        <f>+'Stato patrimoniale'!C79</f>
        <v>4.9912711110246593E-3</v>
      </c>
      <c r="G24" s="656">
        <f>+'Stato patrimoniale'!D79</f>
        <v>1.9024734885848178E-2</v>
      </c>
      <c r="H24" s="656"/>
      <c r="I24" s="656"/>
      <c r="J24" s="656"/>
      <c r="K24" s="656"/>
      <c r="L24" s="656"/>
      <c r="M24" s="3"/>
      <c r="N24" s="3"/>
      <c r="O24" s="3"/>
      <c r="P24" s="3"/>
      <c r="Q24" s="3"/>
      <c r="R24" s="3"/>
    </row>
    <row r="25" spans="1:18">
      <c r="A25" s="655" t="s">
        <v>190</v>
      </c>
      <c r="B25" s="655" t="s">
        <v>200</v>
      </c>
      <c r="C25" s="655" t="s">
        <v>140</v>
      </c>
      <c r="D25" s="655" t="s">
        <v>150</v>
      </c>
      <c r="E25" s="656">
        <f>+'Stato patrimoniale'!B80</f>
        <v>3.6648315231459075E-2</v>
      </c>
      <c r="F25" s="656">
        <f>+'Stato patrimoniale'!C80</f>
        <v>1.9493463433923415E-3</v>
      </c>
      <c r="G25" s="656">
        <f>+'Stato patrimoniale'!D80</f>
        <v>7.8685886691250411E-3</v>
      </c>
      <c r="H25" s="656"/>
      <c r="I25" s="656"/>
      <c r="J25" s="656"/>
      <c r="K25" s="656"/>
      <c r="L25" s="656"/>
      <c r="M25" s="5"/>
      <c r="N25" s="5"/>
      <c r="O25" s="5"/>
      <c r="P25" s="5"/>
      <c r="Q25" s="5"/>
      <c r="R25" s="5"/>
    </row>
    <row r="26" spans="1:18">
      <c r="A26" s="655" t="s">
        <v>190</v>
      </c>
      <c r="B26" s="655" t="s">
        <v>276</v>
      </c>
      <c r="C26" s="655" t="s">
        <v>17</v>
      </c>
      <c r="D26" s="655" t="s">
        <v>178</v>
      </c>
      <c r="E26" s="656">
        <f>+'Stato patrimoniale'!B81</f>
        <v>3.1876675695885467E-2</v>
      </c>
      <c r="F26" s="656">
        <f>+'Stato patrimoniale'!C81</f>
        <v>5.5440454715436453E-3</v>
      </c>
      <c r="G26" s="656">
        <f>+'Stato patrimoniale'!D81</f>
        <v>1.9683441217214024E-2</v>
      </c>
      <c r="H26" s="656"/>
      <c r="I26" s="656"/>
      <c r="J26" s="656"/>
      <c r="K26" s="656"/>
      <c r="L26" s="656"/>
      <c r="M26" s="3"/>
      <c r="N26" s="5"/>
      <c r="O26" s="5"/>
      <c r="P26" s="3"/>
      <c r="Q26" s="5"/>
      <c r="R26" s="5"/>
    </row>
    <row r="27" spans="1:18" ht="12" customHeight="1">
      <c r="A27" s="655" t="s">
        <v>190</v>
      </c>
      <c r="B27" s="655" t="s">
        <v>287</v>
      </c>
      <c r="C27" s="655" t="s">
        <v>71</v>
      </c>
      <c r="D27" s="655" t="s">
        <v>172</v>
      </c>
      <c r="E27" s="656">
        <f>+'Stato patrimoniale'!B92</f>
        <v>-3.60203184696746E-2</v>
      </c>
      <c r="F27" s="656">
        <f>+'Stato patrimoniale'!C92</f>
        <v>-3.9133597647100893E-2</v>
      </c>
      <c r="G27" s="656">
        <f>+'Stato patrimoniale'!D92</f>
        <v>-4.4286374817154174E-2</v>
      </c>
      <c r="H27" s="656"/>
      <c r="I27" s="656"/>
      <c r="J27" s="656"/>
      <c r="K27" s="656"/>
      <c r="L27" s="656"/>
      <c r="M27" s="3"/>
      <c r="N27" s="5"/>
      <c r="O27" s="5"/>
      <c r="P27" s="3"/>
      <c r="Q27" s="5"/>
      <c r="R27" s="5"/>
    </row>
    <row r="28" spans="1:18">
      <c r="A28" s="655" t="s">
        <v>44</v>
      </c>
      <c r="B28" s="655" t="s">
        <v>277</v>
      </c>
      <c r="C28" s="655" t="s">
        <v>279</v>
      </c>
      <c r="D28" s="655" t="s">
        <v>44</v>
      </c>
      <c r="E28" s="668">
        <f>+'Stato patrimoniale'!B95</f>
        <v>3.548661087049626E-3</v>
      </c>
      <c r="F28" s="668">
        <f>+'Stato patrimoniale'!C95</f>
        <v>4.5644543903758253E-3</v>
      </c>
      <c r="G28" s="668">
        <f>+'Stato patrimoniale'!D95</f>
        <v>1.7034568324203641E-3</v>
      </c>
      <c r="H28" s="657"/>
      <c r="I28" s="657"/>
      <c r="J28" s="657"/>
      <c r="K28" s="657"/>
      <c r="L28" s="657"/>
      <c r="M28" s="14"/>
      <c r="N28" s="24"/>
      <c r="O28" s="24"/>
      <c r="P28" s="14"/>
      <c r="Q28" s="24"/>
      <c r="R28" s="24"/>
    </row>
    <row r="29" spans="1:18">
      <c r="A29" s="655" t="s">
        <v>44</v>
      </c>
      <c r="B29" s="655" t="s">
        <v>125</v>
      </c>
      <c r="C29" s="655" t="s">
        <v>126</v>
      </c>
      <c r="D29" s="655" t="s">
        <v>618</v>
      </c>
      <c r="E29" s="657">
        <f>+'Stato patrimoniale'!B93</f>
        <v>0.92925950765305865</v>
      </c>
      <c r="F29" s="657">
        <f>+'Stato patrimoniale'!C93</f>
        <v>0.94427832807308476</v>
      </c>
      <c r="G29" s="657">
        <f>+'Stato patrimoniale'!D93</f>
        <v>0.9530333141913705</v>
      </c>
      <c r="H29" s="657"/>
      <c r="I29" s="657"/>
      <c r="J29" s="657"/>
      <c r="K29" s="657"/>
      <c r="L29" s="657"/>
      <c r="M29" s="14"/>
      <c r="N29" s="24"/>
      <c r="O29" s="24"/>
      <c r="P29" s="14"/>
      <c r="Q29" s="24"/>
      <c r="R29" s="24"/>
    </row>
    <row r="30" spans="1:18">
      <c r="A30" s="655" t="s">
        <v>44</v>
      </c>
      <c r="B30" s="655" t="s">
        <v>97</v>
      </c>
      <c r="C30" s="655" t="s">
        <v>98</v>
      </c>
      <c r="D30" s="655" t="s">
        <v>619</v>
      </c>
      <c r="E30" s="658">
        <f>+'Stato patrimoniale'!B86</f>
        <v>1.7536643994075807</v>
      </c>
      <c r="F30" s="658">
        <f>+'Stato patrimoniale'!C86</f>
        <v>1.6915771802473438</v>
      </c>
      <c r="G30" s="658">
        <f>+'Stato patrimoniale'!D86</f>
        <v>1.8026338563761664</v>
      </c>
      <c r="H30" s="658"/>
      <c r="I30" s="658"/>
      <c r="J30" s="658"/>
      <c r="K30" s="658"/>
      <c r="L30" s="658"/>
      <c r="M30" s="24"/>
      <c r="N30" s="24"/>
      <c r="O30" s="24"/>
      <c r="P30" s="24"/>
      <c r="Q30" s="24"/>
      <c r="R30" s="24"/>
    </row>
    <row r="31" spans="1:18">
      <c r="A31" s="655" t="s">
        <v>44</v>
      </c>
      <c r="B31" s="655" t="s">
        <v>732</v>
      </c>
      <c r="C31" s="655" t="s">
        <v>733</v>
      </c>
      <c r="D31" s="655" t="s">
        <v>734</v>
      </c>
      <c r="E31" s="658">
        <f>+'Stato patrimoniale'!B87</f>
        <v>205.28443191389098</v>
      </c>
      <c r="F31" s="658">
        <f>+'Stato patrimoniale'!C87</f>
        <v>212.81913956025377</v>
      </c>
      <c r="G31" s="658">
        <f>+'Stato patrimoniale'!D87</f>
        <v>199.7077768880408</v>
      </c>
      <c r="H31" s="658"/>
      <c r="I31" s="658"/>
      <c r="J31" s="658"/>
      <c r="K31" s="658"/>
      <c r="L31" s="658"/>
      <c r="M31" s="24"/>
      <c r="N31" s="24"/>
      <c r="O31" s="24"/>
      <c r="P31" s="24"/>
      <c r="Q31" s="24"/>
      <c r="R31" s="24"/>
    </row>
    <row r="32" spans="1:18">
      <c r="A32" s="655" t="s">
        <v>44</v>
      </c>
      <c r="B32" s="655" t="s">
        <v>127</v>
      </c>
      <c r="C32" s="655" t="s">
        <v>129</v>
      </c>
      <c r="D32" s="655" t="s">
        <v>620</v>
      </c>
      <c r="E32" s="658">
        <f>+'Stato patrimoniale'!B89</f>
        <v>1.1511098319867159</v>
      </c>
      <c r="F32" s="658">
        <f>+'Stato patrimoniale'!C89</f>
        <v>1.0925067021940158</v>
      </c>
      <c r="G32" s="658">
        <f>+'Stato patrimoniale'!D89</f>
        <v>1.148130107199915</v>
      </c>
      <c r="H32" s="658"/>
      <c r="I32" s="658"/>
      <c r="J32" s="658"/>
      <c r="K32" s="658"/>
      <c r="L32" s="658"/>
      <c r="M32" s="6"/>
      <c r="N32" s="24"/>
      <c r="O32" s="24"/>
      <c r="P32" s="6"/>
      <c r="Q32" s="24"/>
      <c r="R32" s="24"/>
    </row>
    <row r="33" spans="1:18">
      <c r="A33" s="655" t="s">
        <v>44</v>
      </c>
      <c r="B33" s="655" t="s">
        <v>196</v>
      </c>
      <c r="C33" s="655" t="s">
        <v>63</v>
      </c>
      <c r="D33" s="655" t="s">
        <v>621</v>
      </c>
      <c r="E33" s="658">
        <f>+'Stato patrimoniale'!B90</f>
        <v>0.86336887308926635</v>
      </c>
      <c r="F33" s="658">
        <f>+'Stato patrimoniale'!C90</f>
        <v>0.9002940427966809</v>
      </c>
      <c r="G33" s="658">
        <f>+'Stato patrimoniale'!D90</f>
        <v>0.96653500147170512</v>
      </c>
      <c r="H33" s="658"/>
      <c r="I33" s="658"/>
      <c r="J33" s="658"/>
      <c r="K33" s="658"/>
      <c r="L33" s="658"/>
      <c r="M33" s="14"/>
      <c r="N33" s="24"/>
      <c r="O33" s="24"/>
      <c r="P33" s="14"/>
      <c r="Q33" s="24"/>
      <c r="R33" s="24"/>
    </row>
    <row r="34" spans="1:18" ht="16" customHeight="1">
      <c r="A34" s="655" t="s">
        <v>44</v>
      </c>
      <c r="B34" s="655" t="s">
        <v>246</v>
      </c>
      <c r="C34" s="655" t="s">
        <v>735</v>
      </c>
      <c r="D34" s="655" t="s">
        <v>622</v>
      </c>
      <c r="E34" s="657">
        <f>+'Stato patrimoniale'!B82</f>
        <v>4.3168400712573911</v>
      </c>
      <c r="F34" s="657">
        <f>+'Stato patrimoniale'!C82</f>
        <v>4.295874185155049</v>
      </c>
      <c r="G34" s="657">
        <f>+'Stato patrimoniale'!D82</f>
        <v>4.3251845548500647</v>
      </c>
      <c r="H34" s="657"/>
      <c r="I34" s="657"/>
      <c r="J34" s="657"/>
      <c r="K34" s="657"/>
      <c r="L34" s="657"/>
      <c r="M34" s="14"/>
      <c r="N34" s="24"/>
      <c r="O34" s="24"/>
      <c r="P34" s="14"/>
      <c r="Q34" s="24"/>
      <c r="R34" s="24"/>
    </row>
    <row r="35" spans="1:18" ht="16" customHeight="1">
      <c r="A35" s="655" t="s">
        <v>44</v>
      </c>
      <c r="B35" s="655" t="s">
        <v>239</v>
      </c>
      <c r="C35" s="655" t="s">
        <v>736</v>
      </c>
      <c r="D35" s="655" t="s">
        <v>623</v>
      </c>
      <c r="E35" s="657">
        <f>+'Stato patrimoniale'!B83</f>
        <v>83.394333368282673</v>
      </c>
      <c r="F35" s="657">
        <f>+'Stato patrimoniale'!C83</f>
        <v>83.801336930217076</v>
      </c>
      <c r="G35" s="657">
        <f>+'Stato patrimoniale'!D83</f>
        <v>83.233442512022393</v>
      </c>
      <c r="H35" s="657"/>
      <c r="I35" s="657"/>
      <c r="J35" s="657"/>
      <c r="K35" s="657"/>
      <c r="L35" s="657"/>
      <c r="M35" s="10"/>
      <c r="N35" s="24"/>
      <c r="O35" s="24"/>
      <c r="P35" s="10"/>
      <c r="Q35" s="24"/>
      <c r="R35" s="24"/>
    </row>
    <row r="36" spans="1:18" ht="16" customHeight="1">
      <c r="A36" s="655" t="s">
        <v>44</v>
      </c>
      <c r="B36" s="655" t="s">
        <v>218</v>
      </c>
      <c r="C36" s="655" t="s">
        <v>217</v>
      </c>
      <c r="D36" s="655" t="s">
        <v>624</v>
      </c>
      <c r="E36" s="657">
        <f>+'Stato patrimoniale'!B84</f>
        <v>1.741002363902967</v>
      </c>
      <c r="F36" s="657">
        <f>+'Stato patrimoniale'!C84</f>
        <v>1.57294705885765</v>
      </c>
      <c r="G36" s="657">
        <f>+'Stato patrimoniale'!D84</f>
        <v>1.798329795590079</v>
      </c>
      <c r="H36" s="657"/>
      <c r="I36" s="657"/>
      <c r="J36" s="657"/>
      <c r="K36" s="657"/>
      <c r="L36" s="657"/>
      <c r="M36" s="2"/>
      <c r="N36" s="2"/>
      <c r="O36" s="2"/>
      <c r="P36" s="2"/>
      <c r="Q36" s="2"/>
      <c r="R36" s="2"/>
    </row>
    <row r="37" spans="1:18" ht="12" customHeight="1">
      <c r="A37" s="655" t="s">
        <v>44</v>
      </c>
      <c r="B37" s="655" t="s">
        <v>222</v>
      </c>
      <c r="C37" s="655" t="s">
        <v>219</v>
      </c>
      <c r="D37" s="655" t="s">
        <v>625</v>
      </c>
      <c r="E37" s="657">
        <f>+'Stato patrimoniale'!B85</f>
        <v>206.77743319828386</v>
      </c>
      <c r="F37" s="657">
        <f>+'Stato patrimoniale'!C85</f>
        <v>228.86974992117621</v>
      </c>
      <c r="G37" s="657">
        <f>+'Stato patrimoniale'!D85</f>
        <v>200.18575062416437</v>
      </c>
      <c r="H37" s="657"/>
      <c r="I37" s="657"/>
      <c r="J37" s="657"/>
      <c r="K37" s="657"/>
      <c r="L37" s="657"/>
      <c r="M37" s="10"/>
      <c r="N37" s="10"/>
      <c r="O37" s="10"/>
      <c r="P37" s="10"/>
      <c r="Q37" s="10"/>
      <c r="R37" s="10"/>
    </row>
    <row r="38" spans="1:18" ht="12" customHeight="1">
      <c r="A38" s="655" t="s">
        <v>44</v>
      </c>
      <c r="B38" s="655" t="s">
        <v>737</v>
      </c>
      <c r="C38" s="655" t="s">
        <v>738</v>
      </c>
      <c r="D38" s="655" t="s">
        <v>739</v>
      </c>
      <c r="E38" s="657">
        <f>+'Stato patrimoniale'!B88</f>
        <v>81.901332083889798</v>
      </c>
      <c r="F38" s="657">
        <f>+'Stato patrimoniale'!C88</f>
        <v>67.750726569294642</v>
      </c>
      <c r="G38" s="657">
        <f>+'Stato patrimoniale'!D88</f>
        <v>82.755468775898819</v>
      </c>
      <c r="H38" s="657"/>
      <c r="I38" s="657"/>
      <c r="J38" s="657"/>
      <c r="K38" s="657"/>
      <c r="L38" s="657"/>
      <c r="M38" s="10"/>
      <c r="N38" s="10"/>
      <c r="O38" s="10"/>
      <c r="P38" s="10"/>
      <c r="Q38" s="10"/>
      <c r="R38" s="10"/>
    </row>
    <row r="39" spans="1:18" ht="12" customHeight="1">
      <c r="A39" s="655" t="s">
        <v>44</v>
      </c>
      <c r="B39" s="655" t="s">
        <v>693</v>
      </c>
      <c r="C39" s="655" t="s">
        <v>740</v>
      </c>
      <c r="D39" s="655" t="s">
        <v>741</v>
      </c>
      <c r="E39" s="657">
        <f>+'rendiconto finanziario'!B19</f>
        <v>502135</v>
      </c>
      <c r="F39" s="657">
        <f>+'rendiconto finanziario'!C19</f>
        <v>467987</v>
      </c>
      <c r="G39" s="657">
        <f>+'rendiconto finanziario'!D19</f>
        <v>423822</v>
      </c>
      <c r="H39" s="657"/>
      <c r="I39" s="657"/>
      <c r="J39" s="657"/>
      <c r="K39" s="657"/>
      <c r="L39" s="657"/>
      <c r="M39" s="10"/>
      <c r="N39" s="10"/>
      <c r="O39" s="10"/>
      <c r="P39" s="10"/>
      <c r="Q39" s="10"/>
      <c r="R39" s="10"/>
    </row>
    <row r="40" spans="1:18">
      <c r="A40" s="655" t="s">
        <v>223</v>
      </c>
      <c r="B40" s="655" t="s">
        <v>258</v>
      </c>
      <c r="C40" s="655" t="s">
        <v>259</v>
      </c>
      <c r="D40" s="655" t="s">
        <v>626</v>
      </c>
      <c r="E40" s="657">
        <f>+'conto economico va'!H14/indici!E21</f>
        <v>371967</v>
      </c>
      <c r="F40" s="657">
        <f>+'conto economico va'!E14/F21</f>
        <v>396719.07142857142</v>
      </c>
      <c r="G40" s="657">
        <f>+'conto economico va'!B14/G21</f>
        <v>396455.06666666665</v>
      </c>
      <c r="H40" s="657"/>
      <c r="I40" s="657"/>
      <c r="J40" s="657"/>
      <c r="K40" s="657"/>
      <c r="L40" s="657"/>
      <c r="M40" s="24"/>
      <c r="N40" s="24"/>
      <c r="O40" s="24"/>
      <c r="P40" s="24"/>
      <c r="Q40" s="24"/>
      <c r="R40" s="24"/>
    </row>
    <row r="41" spans="1:18">
      <c r="A41" s="655" t="s">
        <v>223</v>
      </c>
      <c r="B41" s="655" t="s">
        <v>142</v>
      </c>
      <c r="C41" s="655" t="s">
        <v>92</v>
      </c>
      <c r="D41" s="655" t="s">
        <v>627</v>
      </c>
      <c r="E41" s="657">
        <f>+'conto economico va'!H14/'conto economico va'!H53</f>
        <v>6.5903520228404808</v>
      </c>
      <c r="F41" s="657">
        <f>+'conto economico va'!E14/'conto economico va'!E53</f>
        <v>6.8584392731673285</v>
      </c>
      <c r="G41" s="657">
        <f>+'conto economico va'!B14/'conto economico va'!B53</f>
        <v>7.0818394982190682</v>
      </c>
      <c r="H41" s="657"/>
      <c r="I41" s="657"/>
      <c r="J41" s="657"/>
      <c r="K41" s="657"/>
      <c r="L41" s="657"/>
      <c r="M41" s="10"/>
      <c r="N41" s="10"/>
      <c r="O41" s="10"/>
      <c r="P41" s="10"/>
      <c r="Q41" s="10"/>
      <c r="R41" s="10"/>
    </row>
    <row r="42" spans="1:18">
      <c r="A42" s="655" t="s">
        <v>223</v>
      </c>
      <c r="B42" s="655" t="s">
        <v>281</v>
      </c>
      <c r="C42" s="655" t="s">
        <v>293</v>
      </c>
      <c r="D42" s="655" t="s">
        <v>628</v>
      </c>
      <c r="E42" s="657">
        <f>+'conto economico va'!H51/E21</f>
        <v>90994.21428571429</v>
      </c>
      <c r="F42" s="657">
        <f>+'conto economico va'!E51/F21</f>
        <v>86805.357142857145</v>
      </c>
      <c r="G42" s="657">
        <f>+'conto economico va'!B51/G21</f>
        <v>84624.8</v>
      </c>
      <c r="H42" s="657"/>
      <c r="I42" s="657"/>
      <c r="J42" s="657"/>
      <c r="K42" s="657"/>
      <c r="L42" s="657"/>
      <c r="M42" s="2"/>
      <c r="N42" s="2"/>
      <c r="O42" s="2"/>
      <c r="P42" s="2"/>
      <c r="Q42" s="2"/>
      <c r="R42" s="2"/>
    </row>
    <row r="43" spans="1:18" ht="12" customHeight="1">
      <c r="A43" s="655" t="s">
        <v>223</v>
      </c>
      <c r="B43" s="655" t="s">
        <v>55</v>
      </c>
      <c r="C43" s="655" t="s">
        <v>56</v>
      </c>
      <c r="D43" s="655" t="s">
        <v>629</v>
      </c>
      <c r="E43" s="657">
        <f>+'conto economico va'!H68/E21</f>
        <v>11857.071428571429</v>
      </c>
      <c r="F43" s="657">
        <f>+'conto economico va'!E68/F21</f>
        <v>2199.4285714285716</v>
      </c>
      <c r="G43" s="657">
        <f>+'conto economico va'!B68/G21</f>
        <v>7803.6</v>
      </c>
      <c r="H43" s="657"/>
      <c r="I43" s="657"/>
      <c r="J43" s="657"/>
      <c r="K43" s="657"/>
      <c r="L43" s="657"/>
      <c r="M43" s="5"/>
      <c r="N43" s="5"/>
      <c r="O43" s="5"/>
      <c r="P43" s="5"/>
      <c r="Q43" s="5"/>
      <c r="R43" s="5"/>
    </row>
    <row r="44" spans="1:18">
      <c r="A44" s="655" t="s">
        <v>209</v>
      </c>
      <c r="B44" s="655" t="s">
        <v>226</v>
      </c>
      <c r="C44" s="655" t="s">
        <v>227</v>
      </c>
      <c r="D44" s="655" t="s">
        <v>630</v>
      </c>
      <c r="E44" s="656">
        <f>+'Stato patrimoniale'!B74/'Stato patrimoniale'!B71</f>
        <v>0.4284962536778914</v>
      </c>
      <c r="F44" s="656">
        <f>+'Stato patrimoniale'!C74/'Stato patrimoniale'!C71</f>
        <v>0.41976246399434608</v>
      </c>
      <c r="G44" s="656">
        <f>+'Stato patrimoniale'!D74/'Stato patrimoniale'!D71</f>
        <v>0.4242224626576151</v>
      </c>
      <c r="H44" s="656"/>
      <c r="I44" s="656"/>
      <c r="J44" s="656"/>
      <c r="K44" s="656"/>
      <c r="L44" s="656"/>
      <c r="M44" s="14"/>
      <c r="N44" s="24"/>
      <c r="O44" s="24"/>
      <c r="P44" s="14"/>
      <c r="Q44" s="24"/>
      <c r="R44" s="24"/>
    </row>
    <row r="45" spans="1:18">
      <c r="A45" s="655" t="s">
        <v>209</v>
      </c>
      <c r="B45" s="655" t="s">
        <v>260</v>
      </c>
      <c r="C45" s="655" t="s">
        <v>631</v>
      </c>
      <c r="D45" s="655" t="s">
        <v>632</v>
      </c>
      <c r="E45" s="658">
        <f>+'Stato patrimoniale'!B76</f>
        <v>1.3337426906693999</v>
      </c>
      <c r="F45" s="658">
        <f>+'Stato patrimoniale'!C76</f>
        <v>1.3822997189512145</v>
      </c>
      <c r="G45" s="658">
        <f>+'Stato patrimoniale'!D76</f>
        <v>1.3572537713711028</v>
      </c>
      <c r="H45" s="658"/>
      <c r="I45" s="658"/>
      <c r="J45" s="658"/>
      <c r="K45" s="658"/>
      <c r="L45" s="658"/>
      <c r="M45" s="24"/>
      <c r="N45" s="24"/>
      <c r="O45" s="24"/>
      <c r="P45" s="24"/>
      <c r="Q45" s="24"/>
      <c r="R45" s="24"/>
    </row>
    <row r="46" spans="1:18">
      <c r="A46" s="655" t="s">
        <v>209</v>
      </c>
      <c r="B46" s="655" t="s">
        <v>201</v>
      </c>
      <c r="C46" s="655" t="s">
        <v>210</v>
      </c>
      <c r="D46" s="655" t="s">
        <v>633</v>
      </c>
      <c r="E46" s="659">
        <f>+'Stato patrimoniale'!F61/'Stato patrimoniale'!F41</f>
        <v>0.56615202321120428</v>
      </c>
      <c r="F46" s="659">
        <f>+'Stato patrimoniale'!G61/'Stato patrimoniale'!G41</f>
        <v>0.62707476141039231</v>
      </c>
      <c r="G46" s="659">
        <f>+'Stato patrimoniale'!H61/'Stato patrimoniale'!H41</f>
        <v>0.80668031731379741</v>
      </c>
      <c r="H46" s="659"/>
      <c r="I46" s="659"/>
      <c r="J46" s="659"/>
      <c r="K46" s="659"/>
      <c r="L46" s="659"/>
      <c r="M46" s="2"/>
      <c r="N46" s="5"/>
      <c r="O46" s="5"/>
      <c r="P46" s="2"/>
      <c r="Q46" s="5"/>
      <c r="R46" s="5"/>
    </row>
    <row r="47" spans="1:18">
      <c r="A47" s="655" t="s">
        <v>52</v>
      </c>
      <c r="B47" s="655" t="s">
        <v>225</v>
      </c>
      <c r="C47" s="655" t="s">
        <v>634</v>
      </c>
      <c r="D47" s="655" t="s">
        <v>635</v>
      </c>
      <c r="E47" s="655"/>
      <c r="F47" s="656">
        <f>+'Stato patrimoniale'!C67/'Stato patrimoniale'!B67-1</f>
        <v>5.4721062033787904E-2</v>
      </c>
      <c r="G47" s="656">
        <f>+'Stato patrimoniale'!D67/'Stato patrimoniale'!C67-1</f>
        <v>-1.2221078364372917E-2</v>
      </c>
      <c r="H47" s="656"/>
      <c r="I47" s="656"/>
      <c r="J47" s="656"/>
      <c r="K47" s="656"/>
      <c r="L47" s="656"/>
      <c r="M47" s="2"/>
      <c r="N47" s="5"/>
      <c r="O47" s="5"/>
      <c r="P47" s="2"/>
      <c r="Q47" s="5"/>
      <c r="R47" s="5"/>
    </row>
    <row r="48" spans="1:18">
      <c r="A48" s="655" t="s">
        <v>52</v>
      </c>
      <c r="B48" s="655" t="s">
        <v>103</v>
      </c>
      <c r="C48" s="655" t="s">
        <v>636</v>
      </c>
      <c r="D48" s="655" t="s">
        <v>637</v>
      </c>
      <c r="E48" s="655"/>
      <c r="F48" s="660">
        <f>+'Stato patrimoniale'!C96</f>
        <v>6.6543729493668602E-2</v>
      </c>
      <c r="G48" s="660">
        <f>+'Stato patrimoniale'!D96</f>
        <v>7.0715567529163748E-2</v>
      </c>
      <c r="H48" s="660"/>
      <c r="I48" s="660"/>
      <c r="J48" s="660"/>
      <c r="K48" s="660"/>
      <c r="L48" s="660"/>
      <c r="M48" s="2"/>
      <c r="N48" s="5"/>
      <c r="O48" s="5"/>
      <c r="P48" s="2"/>
      <c r="Q48" s="5"/>
      <c r="R48" s="5"/>
    </row>
    <row r="49" spans="1:25">
      <c r="A49" s="655" t="s">
        <v>52</v>
      </c>
      <c r="B49" s="655" t="s">
        <v>179</v>
      </c>
      <c r="C49" s="655" t="s">
        <v>638</v>
      </c>
      <c r="D49" s="655" t="s">
        <v>639</v>
      </c>
      <c r="E49" s="655"/>
      <c r="F49" s="660">
        <f>+'Stato patrimoniale'!C97</f>
        <v>1.9527660445441963E-3</v>
      </c>
      <c r="G49" s="660">
        <f>+'Stato patrimoniale'!D97</f>
        <v>7.931383626571975E-3</v>
      </c>
      <c r="H49" s="660"/>
      <c r="I49" s="660"/>
      <c r="J49" s="660"/>
      <c r="K49" s="660"/>
      <c r="L49" s="660"/>
      <c r="M49" s="2"/>
      <c r="N49" s="2"/>
      <c r="O49" s="2"/>
      <c r="P49" s="2"/>
      <c r="Q49" s="2"/>
      <c r="R49" s="2"/>
    </row>
    <row r="50" spans="1:25">
      <c r="A50" s="655" t="s">
        <v>52</v>
      </c>
      <c r="B50" s="655" t="s">
        <v>132</v>
      </c>
      <c r="C50" s="655" t="s">
        <v>640</v>
      </c>
      <c r="D50" s="655" t="s">
        <v>641</v>
      </c>
      <c r="E50" s="655"/>
      <c r="F50" s="660">
        <f>+'Stato patrimoniale'!C98</f>
        <v>2.2799900988933475E-2</v>
      </c>
      <c r="G50" s="660">
        <f>+'Stato patrimoniale'!D98</f>
        <v>-2.6653504442251119E-3</v>
      </c>
      <c r="H50" s="660"/>
      <c r="I50" s="660"/>
      <c r="J50" s="660"/>
      <c r="K50" s="660"/>
      <c r="L50" s="660"/>
      <c r="M50" s="2"/>
      <c r="N50" s="2"/>
      <c r="O50" s="2"/>
      <c r="P50" s="2"/>
      <c r="Q50" s="2"/>
      <c r="R50" s="2"/>
    </row>
    <row r="51" spans="1:25">
      <c r="A51" s="655" t="s">
        <v>256</v>
      </c>
      <c r="B51" s="655" t="s">
        <v>148</v>
      </c>
      <c r="C51" s="655"/>
      <c r="D51" s="655" t="s">
        <v>642</v>
      </c>
      <c r="E51" s="657">
        <f>+'Stato patrimoniale'!B71</f>
        <v>6031649</v>
      </c>
      <c r="F51" s="657">
        <f>+'Stato patrimoniale'!C71</f>
        <v>6169170</v>
      </c>
      <c r="G51" s="657">
        <f>+'Stato patrimoniale'!D71</f>
        <v>6152727</v>
      </c>
      <c r="H51" s="657"/>
      <c r="I51" s="657"/>
      <c r="J51" s="657"/>
      <c r="K51" s="657"/>
      <c r="L51" s="657"/>
      <c r="M51" s="2"/>
      <c r="N51" s="2"/>
      <c r="O51" s="2"/>
      <c r="P51" s="2"/>
      <c r="Q51" s="2"/>
      <c r="R51" s="2"/>
    </row>
    <row r="52" spans="1:25">
      <c r="A52" s="655" t="s">
        <v>256</v>
      </c>
      <c r="B52" s="655" t="s">
        <v>257</v>
      </c>
      <c r="C52" s="655"/>
      <c r="D52" s="655" t="s">
        <v>643</v>
      </c>
      <c r="E52" s="658">
        <f>+'Stato patrimoniale'!B73</f>
        <v>3447110</v>
      </c>
      <c r="F52" s="658">
        <f>+'Stato patrimoniale'!C73</f>
        <v>3579584</v>
      </c>
      <c r="G52" s="658">
        <f>+'Stato patrimoniale'!D73</f>
        <v>3542602</v>
      </c>
      <c r="H52" s="658"/>
      <c r="I52" s="658"/>
      <c r="J52" s="658"/>
      <c r="K52" s="658"/>
      <c r="L52" s="658"/>
      <c r="M52" s="2"/>
      <c r="N52" s="2"/>
      <c r="O52" s="2"/>
      <c r="P52" s="2"/>
      <c r="Q52" s="2"/>
      <c r="R52" s="2"/>
    </row>
    <row r="53" spans="1:25">
      <c r="A53" s="655" t="s">
        <v>256</v>
      </c>
      <c r="B53" s="655" t="s">
        <v>141</v>
      </c>
      <c r="C53" s="655"/>
      <c r="D53" s="655" t="s">
        <v>644</v>
      </c>
      <c r="E53" s="658">
        <f>+'Stato patrimoniale'!B74</f>
        <v>2584539</v>
      </c>
      <c r="F53" s="658">
        <f>+'Stato patrimoniale'!C74</f>
        <v>2589586</v>
      </c>
      <c r="G53" s="658">
        <f>+'Stato patrimoniale'!D74</f>
        <v>2610125</v>
      </c>
      <c r="H53" s="657"/>
      <c r="I53" s="657"/>
      <c r="J53" s="657"/>
      <c r="K53" s="657"/>
      <c r="L53" s="657"/>
      <c r="M53" s="2"/>
      <c r="N53" s="2"/>
      <c r="O53" s="2"/>
      <c r="P53" s="2"/>
      <c r="Q53" s="2"/>
      <c r="R53" s="2"/>
    </row>
    <row r="54" spans="1:25">
      <c r="A54" s="655" t="s">
        <v>256</v>
      </c>
      <c r="B54" s="655" t="s">
        <v>51</v>
      </c>
      <c r="C54" s="655"/>
      <c r="D54" s="655" t="s">
        <v>645</v>
      </c>
      <c r="E54" s="660">
        <f>+'conto economico va'!J74</f>
        <v>-0.7479924577858903</v>
      </c>
      <c r="F54" s="660">
        <f>+'conto economico va'!G74</f>
        <v>-4.5492985190958688</v>
      </c>
      <c r="G54" s="660">
        <f>+'conto economico va'!D74</f>
        <v>-1.3403130179233516</v>
      </c>
      <c r="H54" s="660"/>
      <c r="I54" s="660"/>
      <c r="J54" s="660"/>
      <c r="K54" s="660"/>
      <c r="L54" s="660"/>
      <c r="M54" s="2"/>
      <c r="N54" s="2"/>
      <c r="O54" s="2"/>
      <c r="P54" s="2"/>
      <c r="Q54" s="2"/>
      <c r="R54" s="2"/>
    </row>
    <row r="55" spans="1:25" s="27" customFormat="1" ht="13">
      <c r="A55" s="655" t="s">
        <v>256</v>
      </c>
      <c r="B55" s="655" t="s">
        <v>230</v>
      </c>
      <c r="C55" s="655"/>
      <c r="D55" s="655" t="s">
        <v>646</v>
      </c>
      <c r="E55" s="657">
        <f>+'Stato patrimoniale'!B77</f>
        <v>-3429834</v>
      </c>
      <c r="F55" s="657">
        <f>+'Stato patrimoniale'!C77</f>
        <v>-3555010</v>
      </c>
      <c r="G55" s="657">
        <f>+'Stato patrimoniale'!D77</f>
        <v>-3533344</v>
      </c>
      <c r="H55" s="657"/>
      <c r="I55" s="657"/>
      <c r="J55" s="657"/>
      <c r="K55" s="657"/>
      <c r="L55" s="657"/>
      <c r="M55" s="661"/>
      <c r="N55" s="661"/>
      <c r="O55" s="661"/>
      <c r="P55" s="661"/>
      <c r="Q55" s="661"/>
      <c r="R55" s="661"/>
    </row>
    <row r="56" spans="1:25">
      <c r="A56" s="655" t="s">
        <v>256</v>
      </c>
      <c r="B56" s="655" t="s">
        <v>231</v>
      </c>
      <c r="C56" s="655"/>
      <c r="D56" s="655" t="s">
        <v>647</v>
      </c>
      <c r="E56" s="657">
        <f>+'Stato patrimoniale'!B78</f>
        <v>-7.0901987212218058</v>
      </c>
      <c r="F56" s="657">
        <f>+'Stato patrimoniale'!C78</f>
        <v>-8.767843930350713</v>
      </c>
      <c r="G56" s="657">
        <f>+'Stato patrimoniale'!D78</f>
        <v>-8.2239068249686369</v>
      </c>
      <c r="H56" s="657"/>
      <c r="I56" s="657"/>
      <c r="J56" s="657"/>
      <c r="K56" s="657"/>
      <c r="L56" s="657"/>
      <c r="M56" s="662"/>
      <c r="N56" s="1"/>
      <c r="O56" s="1"/>
      <c r="P56" s="1"/>
      <c r="R56" s="4"/>
    </row>
    <row r="57" spans="1:25">
      <c r="H57" s="21"/>
      <c r="I57" s="11"/>
    </row>
    <row r="58" spans="1:25">
      <c r="J58" s="21"/>
    </row>
    <row r="59" spans="1:25" ht="13" thickBot="1"/>
    <row r="60" spans="1:25" ht="18">
      <c r="A60" s="687" t="s">
        <v>614</v>
      </c>
      <c r="B60" s="687" t="s">
        <v>730</v>
      </c>
      <c r="C60" s="688" t="s">
        <v>616</v>
      </c>
      <c r="D60" s="689" t="s">
        <v>617</v>
      </c>
      <c r="E60" s="703" t="s">
        <v>650</v>
      </c>
      <c r="F60" s="703" t="s">
        <v>651</v>
      </c>
      <c r="G60" s="703" t="s">
        <v>652</v>
      </c>
      <c r="H60" s="704" t="s">
        <v>721</v>
      </c>
      <c r="I60" s="704" t="s">
        <v>666</v>
      </c>
      <c r="K60" s="687" t="s">
        <v>614</v>
      </c>
      <c r="L60" s="687" t="s">
        <v>730</v>
      </c>
      <c r="M60" s="688" t="s">
        <v>616</v>
      </c>
      <c r="N60" s="689" t="s">
        <v>617</v>
      </c>
      <c r="O60" s="703" t="e">
        <v>#REF!</v>
      </c>
      <c r="P60" s="703" t="e">
        <v>#REF!</v>
      </c>
      <c r="Q60" s="703" t="e">
        <v>#REF!</v>
      </c>
      <c r="R60" s="686" t="s">
        <v>721</v>
      </c>
      <c r="S60" s="701" t="s">
        <v>666</v>
      </c>
    </row>
    <row r="61" spans="1:25" ht="25">
      <c r="A61" s="691" t="str">
        <f>+A24</f>
        <v>REDDITIVITA'</v>
      </c>
      <c r="B61" s="691" t="str">
        <f t="shared" ref="B61:D61" si="0">+B24</f>
        <v>REDDITIVITA' INVESTIMENTI ROI</v>
      </c>
      <c r="C61" s="691" t="str">
        <f t="shared" si="0"/>
        <v>RO/CAP INV</v>
      </c>
      <c r="D61" s="691" t="str">
        <f t="shared" si="0"/>
        <v>ROI</v>
      </c>
      <c r="E61" s="692" cm="1">
        <f t="array" aca="1" ref="E61:G61" ca="1">+OFFSET(INDIRECT(MID(_xlfn.FORMULATEXT(D61),3,3)),$N$6,$O$6,$N$7,$O$7)</f>
        <v>2.7521329573388636E-2</v>
      </c>
      <c r="F61" s="692">
        <f ca="1"/>
        <v>4.9912711110246593E-3</v>
      </c>
      <c r="G61" s="692">
        <f ca="1"/>
        <v>1.9024734885848178E-2</v>
      </c>
      <c r="H61" s="693">
        <v>0.1</v>
      </c>
      <c r="I61" s="702" t="str">
        <f ca="1">+IF(AVERAGE(E61:G61)&gt;=U62,V62,IF(AVERAGE(E61:G61)&gt;=U63,V63,V64))</f>
        <v>🥲</v>
      </c>
      <c r="K61" s="691" t="str">
        <f>+A25</f>
        <v>REDDITIVITA'</v>
      </c>
      <c r="L61" s="691" t="str">
        <f t="shared" ref="L61:N61" si="1">+B25</f>
        <v>REDDITIVITA' MEZZI PROPRI ROE</v>
      </c>
      <c r="M61" s="691" t="str">
        <f t="shared" si="1"/>
        <v>UTILE/MEZZI PROPRI</v>
      </c>
      <c r="N61" s="691" t="str">
        <f t="shared" si="1"/>
        <v>ROE</v>
      </c>
      <c r="O61" s="692" cm="1">
        <f t="array" aca="1" ref="O61:Q61" ca="1">+OFFSET(INDIRECT(MID(_xlfn.FORMULATEXT(N61),3,3)),$N$6,$O$6,$N$7,$O$7)</f>
        <v>3.6648315231459075E-2</v>
      </c>
      <c r="P61" s="705">
        <f ca="1"/>
        <v>1.9493463433923415E-3</v>
      </c>
      <c r="Q61" s="705">
        <f ca="1"/>
        <v>7.8685886691250411E-3</v>
      </c>
      <c r="R61" s="693">
        <v>0.12</v>
      </c>
      <c r="S61" s="702" t="str">
        <f ca="1">+IF(AVERAGE(O61:Q61)&gt;=X62,Y62,IF(AVERAGE(O61:Q61)&gt;=X63,Y63,Y64))</f>
        <v>🥲</v>
      </c>
    </row>
    <row r="62" spans="1:25" ht="28">
      <c r="C62" s="1"/>
      <c r="D62" s="727" t="s">
        <v>742</v>
      </c>
      <c r="E62" s="719"/>
      <c r="F62" s="719"/>
      <c r="G62" s="719"/>
      <c r="H62" s="719"/>
      <c r="I62" s="720"/>
      <c r="M62" s="1"/>
      <c r="N62" s="727" t="s">
        <v>742</v>
      </c>
      <c r="O62" s="719"/>
      <c r="P62" s="719"/>
      <c r="Q62" s="719"/>
      <c r="R62" s="719"/>
      <c r="S62" s="720"/>
      <c r="U62" s="11">
        <v>0.1</v>
      </c>
      <c r="V62" s="694" t="s">
        <v>724</v>
      </c>
      <c r="X62" s="11">
        <v>0.12</v>
      </c>
      <c r="Y62" s="694" t="s">
        <v>724</v>
      </c>
    </row>
    <row r="63" spans="1:25" ht="28">
      <c r="D63" s="721"/>
      <c r="E63" s="722"/>
      <c r="F63" s="722"/>
      <c r="G63" s="722"/>
      <c r="H63" s="722"/>
      <c r="I63" s="723"/>
      <c r="N63" s="721"/>
      <c r="O63" s="722"/>
      <c r="P63" s="722"/>
      <c r="Q63" s="722"/>
      <c r="R63" s="722"/>
      <c r="S63" s="723"/>
      <c r="U63" s="11">
        <v>0.05</v>
      </c>
      <c r="V63" s="694" t="s">
        <v>726</v>
      </c>
      <c r="X63" s="11">
        <v>0.06</v>
      </c>
      <c r="Y63" s="694" t="s">
        <v>726</v>
      </c>
    </row>
    <row r="64" spans="1:25" ht="28">
      <c r="D64" s="721"/>
      <c r="E64" s="722"/>
      <c r="F64" s="722"/>
      <c r="G64" s="722"/>
      <c r="H64" s="722"/>
      <c r="I64" s="723"/>
      <c r="N64" s="721"/>
      <c r="O64" s="722"/>
      <c r="P64" s="722"/>
      <c r="Q64" s="722"/>
      <c r="R64" s="722"/>
      <c r="S64" s="723"/>
      <c r="V64" s="694" t="s">
        <v>725</v>
      </c>
      <c r="Y64" s="694" t="s">
        <v>725</v>
      </c>
    </row>
    <row r="65" spans="4:19">
      <c r="D65" s="721"/>
      <c r="E65" s="722"/>
      <c r="F65" s="722"/>
      <c r="G65" s="722"/>
      <c r="H65" s="722"/>
      <c r="I65" s="723"/>
      <c r="N65" s="721"/>
      <c r="O65" s="722"/>
      <c r="P65" s="722"/>
      <c r="Q65" s="722"/>
      <c r="R65" s="722"/>
      <c r="S65" s="723"/>
    </row>
    <row r="66" spans="4:19">
      <c r="D66" s="721"/>
      <c r="E66" s="722"/>
      <c r="F66" s="722"/>
      <c r="G66" s="722"/>
      <c r="H66" s="722"/>
      <c r="I66" s="723"/>
      <c r="N66" s="721"/>
      <c r="O66" s="722"/>
      <c r="P66" s="722"/>
      <c r="Q66" s="722"/>
      <c r="R66" s="722"/>
      <c r="S66" s="723"/>
    </row>
    <row r="67" spans="4:19">
      <c r="D67" s="721"/>
      <c r="E67" s="722"/>
      <c r="F67" s="722"/>
      <c r="G67" s="722"/>
      <c r="H67" s="722"/>
      <c r="I67" s="723"/>
      <c r="N67" s="721"/>
      <c r="O67" s="722"/>
      <c r="P67" s="722"/>
      <c r="Q67" s="722"/>
      <c r="R67" s="722"/>
      <c r="S67" s="723"/>
    </row>
    <row r="68" spans="4:19">
      <c r="D68" s="721"/>
      <c r="E68" s="722"/>
      <c r="F68" s="722"/>
      <c r="G68" s="722"/>
      <c r="H68" s="722"/>
      <c r="I68" s="723"/>
      <c r="N68" s="721"/>
      <c r="O68" s="722"/>
      <c r="P68" s="722"/>
      <c r="Q68" s="722"/>
      <c r="R68" s="722"/>
      <c r="S68" s="723"/>
    </row>
    <row r="69" spans="4:19">
      <c r="D69" s="721"/>
      <c r="E69" s="722"/>
      <c r="F69" s="722"/>
      <c r="G69" s="722"/>
      <c r="H69" s="722"/>
      <c r="I69" s="723"/>
      <c r="N69" s="721"/>
      <c r="O69" s="722"/>
      <c r="P69" s="722"/>
      <c r="Q69" s="722"/>
      <c r="R69" s="722"/>
      <c r="S69" s="723"/>
    </row>
    <row r="70" spans="4:19">
      <c r="D70" s="724"/>
      <c r="E70" s="725"/>
      <c r="F70" s="725"/>
      <c r="G70" s="725"/>
      <c r="H70" s="725"/>
      <c r="I70" s="726"/>
      <c r="N70" s="724"/>
      <c r="O70" s="725"/>
      <c r="P70" s="725"/>
      <c r="Q70" s="725"/>
      <c r="R70" s="725"/>
      <c r="S70" s="726"/>
    </row>
    <row r="71" spans="4:19">
      <c r="D71" s="727" t="s">
        <v>743</v>
      </c>
      <c r="E71" s="719"/>
      <c r="F71" s="719"/>
      <c r="G71" s="719"/>
      <c r="H71" s="719"/>
      <c r="I71" s="720"/>
      <c r="N71" s="727" t="s">
        <v>743</v>
      </c>
      <c r="O71" s="719"/>
      <c r="P71" s="719"/>
      <c r="Q71" s="719"/>
      <c r="R71" s="719"/>
      <c r="S71" s="720"/>
    </row>
    <row r="72" spans="4:19">
      <c r="D72" s="721"/>
      <c r="E72" s="722"/>
      <c r="F72" s="722"/>
      <c r="G72" s="722"/>
      <c r="H72" s="722"/>
      <c r="I72" s="723"/>
      <c r="N72" s="721"/>
      <c r="O72" s="722"/>
      <c r="P72" s="722"/>
      <c r="Q72" s="722"/>
      <c r="R72" s="722"/>
      <c r="S72" s="723"/>
    </row>
    <row r="73" spans="4:19">
      <c r="D73" s="721"/>
      <c r="E73" s="722"/>
      <c r="F73" s="722"/>
      <c r="G73" s="722"/>
      <c r="H73" s="722"/>
      <c r="I73" s="723"/>
      <c r="N73" s="721"/>
      <c r="O73" s="722"/>
      <c r="P73" s="722"/>
      <c r="Q73" s="722"/>
      <c r="R73" s="722"/>
      <c r="S73" s="723"/>
    </row>
    <row r="74" spans="4:19">
      <c r="D74" s="721"/>
      <c r="E74" s="722"/>
      <c r="F74" s="722"/>
      <c r="G74" s="722"/>
      <c r="H74" s="722"/>
      <c r="I74" s="723"/>
      <c r="N74" s="721"/>
      <c r="O74" s="722"/>
      <c r="P74" s="722"/>
      <c r="Q74" s="722"/>
      <c r="R74" s="722"/>
      <c r="S74" s="723"/>
    </row>
    <row r="75" spans="4:19">
      <c r="D75" s="721"/>
      <c r="E75" s="722"/>
      <c r="F75" s="722"/>
      <c r="G75" s="722"/>
      <c r="H75" s="722"/>
      <c r="I75" s="723"/>
      <c r="N75" s="721"/>
      <c r="O75" s="722"/>
      <c r="P75" s="722"/>
      <c r="Q75" s="722"/>
      <c r="R75" s="722"/>
      <c r="S75" s="723"/>
    </row>
    <row r="76" spans="4:19">
      <c r="D76" s="721"/>
      <c r="E76" s="722"/>
      <c r="F76" s="722"/>
      <c r="G76" s="722"/>
      <c r="H76" s="722"/>
      <c r="I76" s="723"/>
      <c r="N76" s="721"/>
      <c r="O76" s="722"/>
      <c r="P76" s="722"/>
      <c r="Q76" s="722"/>
      <c r="R76" s="722"/>
      <c r="S76" s="723"/>
    </row>
    <row r="77" spans="4:19">
      <c r="D77" s="721"/>
      <c r="E77" s="722"/>
      <c r="F77" s="722"/>
      <c r="G77" s="722"/>
      <c r="H77" s="722"/>
      <c r="I77" s="723"/>
      <c r="N77" s="721"/>
      <c r="O77" s="722"/>
      <c r="P77" s="722"/>
      <c r="Q77" s="722"/>
      <c r="R77" s="722"/>
      <c r="S77" s="723"/>
    </row>
    <row r="78" spans="4:19">
      <c r="D78" s="721"/>
      <c r="E78" s="722"/>
      <c r="F78" s="722"/>
      <c r="G78" s="722"/>
      <c r="H78" s="722"/>
      <c r="I78" s="723"/>
      <c r="N78" s="721"/>
      <c r="O78" s="722"/>
      <c r="P78" s="722"/>
      <c r="Q78" s="722"/>
      <c r="R78" s="722"/>
      <c r="S78" s="723"/>
    </row>
    <row r="79" spans="4:19">
      <c r="D79" s="721"/>
      <c r="E79" s="722"/>
      <c r="F79" s="722"/>
      <c r="G79" s="722"/>
      <c r="H79" s="722"/>
      <c r="I79" s="723"/>
      <c r="N79" s="721"/>
      <c r="O79" s="722"/>
      <c r="P79" s="722"/>
      <c r="Q79" s="722"/>
      <c r="R79" s="722"/>
      <c r="S79" s="723"/>
    </row>
    <row r="80" spans="4:19">
      <c r="D80" s="724"/>
      <c r="E80" s="725"/>
      <c r="F80" s="725"/>
      <c r="G80" s="725"/>
      <c r="H80" s="725"/>
      <c r="I80" s="726"/>
      <c r="N80" s="724"/>
      <c r="O80" s="725"/>
      <c r="P80" s="725"/>
      <c r="Q80" s="725"/>
      <c r="R80" s="725"/>
      <c r="S80" s="726"/>
    </row>
    <row r="83" spans="1:25" ht="13" thickBot="1"/>
    <row r="84" spans="1:25" ht="18">
      <c r="A84" s="687" t="s">
        <v>614</v>
      </c>
      <c r="B84" s="687" t="s">
        <v>730</v>
      </c>
      <c r="C84" s="688" t="s">
        <v>616</v>
      </c>
      <c r="D84" s="689" t="s">
        <v>617</v>
      </c>
      <c r="E84" s="703" t="e">
        <v>#REF!</v>
      </c>
      <c r="F84" s="703" t="e">
        <v>#REF!</v>
      </c>
      <c r="G84" s="703" t="e">
        <v>#REF!</v>
      </c>
      <c r="H84" s="686" t="s">
        <v>721</v>
      </c>
      <c r="I84" s="701" t="s">
        <v>666</v>
      </c>
      <c r="K84" s="687" t="s">
        <v>614</v>
      </c>
      <c r="L84" s="687" t="s">
        <v>730</v>
      </c>
      <c r="M84" s="688" t="s">
        <v>616</v>
      </c>
      <c r="N84" s="689" t="s">
        <v>617</v>
      </c>
      <c r="O84" s="703" t="e">
        <v>#REF!</v>
      </c>
      <c r="P84" s="703" t="e">
        <v>#REF!</v>
      </c>
      <c r="Q84" s="703" t="e">
        <v>#REF!</v>
      </c>
      <c r="R84" s="686" t="s">
        <v>721</v>
      </c>
      <c r="S84" s="701" t="s">
        <v>666</v>
      </c>
    </row>
    <row r="85" spans="1:25" ht="28">
      <c r="A85" s="691" t="str">
        <f>+A26</f>
        <v>REDDITIVITA'</v>
      </c>
      <c r="B85" s="691" t="str">
        <f t="shared" ref="B85:D85" si="2">+B26</f>
        <v>REDDITIVITA' VENDITE ROS</v>
      </c>
      <c r="C85" s="691" t="str">
        <f t="shared" si="2"/>
        <v>RO/RICAVI</v>
      </c>
      <c r="D85" s="691" t="str">
        <f t="shared" si="2"/>
        <v>ROS</v>
      </c>
      <c r="E85" s="692" cm="1">
        <f t="array" aca="1" ref="E85:G85" ca="1">+OFFSET(INDIRECT(MID(_xlfn.FORMULATEXT(D85),3,3)),$N$6,$O$6,$N$7,$O$7)</f>
        <v>3.1876675695885467E-2</v>
      </c>
      <c r="F85" s="705">
        <f ca="1"/>
        <v>5.5440454715436453E-3</v>
      </c>
      <c r="G85" s="705">
        <f ca="1"/>
        <v>1.9683441217214024E-2</v>
      </c>
      <c r="H85" s="693">
        <v>0.06</v>
      </c>
      <c r="I85" s="702" t="str">
        <f ca="1">+IF(AVERAGE(E85:G85)&gt;=U86,V86,IF(AVERAGE(E85:G85)&gt;=U87,V87,V88))</f>
        <v>🥲</v>
      </c>
      <c r="K85" s="691" t="str">
        <f>+A45</f>
        <v>SOLIDITA'</v>
      </c>
      <c r="L85" s="691" t="str">
        <f t="shared" ref="L85:N85" si="3">+B45</f>
        <v>INDEBITAMENTO</v>
      </c>
      <c r="M85" s="691" t="str">
        <f t="shared" si="3"/>
        <v>MEZZIDI TERZI/MEZZI PROPRI</v>
      </c>
      <c r="N85" s="691" t="str">
        <f t="shared" si="3"/>
        <v>MT/MP</v>
      </c>
      <c r="O85" s="707" cm="1">
        <f t="array" aca="1" ref="O85:Q85" ca="1">+OFFSET(INDIRECT(MID(_xlfn.FORMULATEXT(N85),3,3)),$N$6,$O$6,$N$7,$O$7)</f>
        <v>1.3337426906693999</v>
      </c>
      <c r="P85" s="698">
        <f ca="1"/>
        <v>1.3822997189512145</v>
      </c>
      <c r="Q85" s="698">
        <f ca="1"/>
        <v>1.3572537713711028</v>
      </c>
      <c r="R85" s="708">
        <v>1</v>
      </c>
      <c r="S85" s="702" t="str">
        <f ca="1">+IF(AVERAGE(O85:Q85)&lt;=X86,Y86,IF(AVERAGE(O85:Q85)&lt;=X87,Y87,Y88))</f>
        <v>🥲</v>
      </c>
      <c r="U85" s="11"/>
      <c r="V85" s="694"/>
      <c r="X85" s="11"/>
      <c r="Y85" s="694"/>
    </row>
    <row r="86" spans="1:25" ht="28">
      <c r="C86" s="1"/>
      <c r="D86" s="727" t="s">
        <v>742</v>
      </c>
      <c r="E86" s="719"/>
      <c r="F86" s="719"/>
      <c r="G86" s="719"/>
      <c r="H86" s="719"/>
      <c r="I86" s="720"/>
      <c r="M86" s="1"/>
      <c r="N86" s="727" t="s">
        <v>742</v>
      </c>
      <c r="O86" s="719"/>
      <c r="P86" s="719"/>
      <c r="Q86" s="719"/>
      <c r="R86" s="719"/>
      <c r="S86" s="720"/>
      <c r="U86" s="11">
        <v>0.06</v>
      </c>
      <c r="V86" s="694" t="s">
        <v>724</v>
      </c>
      <c r="X86" s="11">
        <v>0.01</v>
      </c>
      <c r="Y86" s="694" t="s">
        <v>724</v>
      </c>
    </row>
    <row r="87" spans="1:25" ht="28">
      <c r="D87" s="721"/>
      <c r="E87" s="722"/>
      <c r="F87" s="722"/>
      <c r="G87" s="722"/>
      <c r="H87" s="722"/>
      <c r="I87" s="723"/>
      <c r="N87" s="721"/>
      <c r="O87" s="722"/>
      <c r="P87" s="722"/>
      <c r="Q87" s="722"/>
      <c r="R87" s="722"/>
      <c r="S87" s="723"/>
      <c r="U87" s="11">
        <v>0.03</v>
      </c>
      <c r="V87" s="694" t="s">
        <v>726</v>
      </c>
      <c r="X87" s="447">
        <v>1.4999999999999999E-2</v>
      </c>
      <c r="Y87" s="694" t="s">
        <v>726</v>
      </c>
    </row>
    <row r="88" spans="1:25" ht="28">
      <c r="D88" s="721"/>
      <c r="E88" s="722"/>
      <c r="F88" s="722"/>
      <c r="G88" s="722"/>
      <c r="H88" s="722"/>
      <c r="I88" s="723"/>
      <c r="N88" s="721"/>
      <c r="O88" s="722"/>
      <c r="P88" s="722"/>
      <c r="Q88" s="722"/>
      <c r="R88" s="722"/>
      <c r="S88" s="723"/>
      <c r="V88" s="694" t="s">
        <v>725</v>
      </c>
      <c r="Y88" s="694" t="s">
        <v>725</v>
      </c>
    </row>
    <row r="89" spans="1:25">
      <c r="D89" s="721"/>
      <c r="E89" s="722"/>
      <c r="F89" s="722"/>
      <c r="G89" s="722"/>
      <c r="H89" s="722"/>
      <c r="I89" s="723"/>
      <c r="N89" s="721"/>
      <c r="O89" s="722"/>
      <c r="P89" s="722"/>
      <c r="Q89" s="722"/>
      <c r="R89" s="722"/>
      <c r="S89" s="723"/>
    </row>
    <row r="90" spans="1:25">
      <c r="D90" s="721"/>
      <c r="E90" s="722"/>
      <c r="F90" s="722"/>
      <c r="G90" s="722"/>
      <c r="H90" s="722"/>
      <c r="I90" s="723"/>
      <c r="N90" s="721"/>
      <c r="O90" s="722"/>
      <c r="P90" s="722"/>
      <c r="Q90" s="722"/>
      <c r="R90" s="722"/>
      <c r="S90" s="723"/>
    </row>
    <row r="91" spans="1:25">
      <c r="D91" s="721"/>
      <c r="E91" s="722"/>
      <c r="F91" s="722"/>
      <c r="G91" s="722"/>
      <c r="H91" s="722"/>
      <c r="I91" s="723"/>
      <c r="N91" s="721"/>
      <c r="O91" s="722"/>
      <c r="P91" s="722"/>
      <c r="Q91" s="722"/>
      <c r="R91" s="722"/>
      <c r="S91" s="723"/>
    </row>
    <row r="92" spans="1:25">
      <c r="D92" s="721"/>
      <c r="E92" s="722"/>
      <c r="F92" s="722"/>
      <c r="G92" s="722"/>
      <c r="H92" s="722"/>
      <c r="I92" s="723"/>
      <c r="N92" s="721"/>
      <c r="O92" s="722"/>
      <c r="P92" s="722"/>
      <c r="Q92" s="722"/>
      <c r="R92" s="722"/>
      <c r="S92" s="723"/>
    </row>
    <row r="93" spans="1:25">
      <c r="D93" s="721"/>
      <c r="E93" s="722"/>
      <c r="F93" s="722"/>
      <c r="G93" s="722"/>
      <c r="H93" s="722"/>
      <c r="I93" s="723"/>
      <c r="N93" s="721"/>
      <c r="O93" s="722"/>
      <c r="P93" s="722"/>
      <c r="Q93" s="722"/>
      <c r="R93" s="722"/>
      <c r="S93" s="723"/>
    </row>
    <row r="94" spans="1:25">
      <c r="D94" s="724"/>
      <c r="E94" s="725"/>
      <c r="F94" s="725"/>
      <c r="G94" s="725"/>
      <c r="H94" s="725"/>
      <c r="I94" s="726"/>
      <c r="N94" s="724"/>
      <c r="O94" s="725"/>
      <c r="P94" s="725"/>
      <c r="Q94" s="725"/>
      <c r="R94" s="725"/>
      <c r="S94" s="726"/>
    </row>
    <row r="95" spans="1:25">
      <c r="D95" s="727" t="s">
        <v>743</v>
      </c>
      <c r="E95" s="719"/>
      <c r="F95" s="719"/>
      <c r="G95" s="719"/>
      <c r="H95" s="719"/>
      <c r="I95" s="720"/>
      <c r="N95" s="727" t="s">
        <v>743</v>
      </c>
      <c r="O95" s="719"/>
      <c r="P95" s="719"/>
      <c r="Q95" s="719"/>
      <c r="R95" s="719"/>
      <c r="S95" s="720"/>
    </row>
    <row r="96" spans="1:25">
      <c r="D96" s="721"/>
      <c r="E96" s="722"/>
      <c r="F96" s="722"/>
      <c r="G96" s="722"/>
      <c r="H96" s="722"/>
      <c r="I96" s="723"/>
      <c r="N96" s="721"/>
      <c r="O96" s="722"/>
      <c r="P96" s="722"/>
      <c r="Q96" s="722"/>
      <c r="R96" s="722"/>
      <c r="S96" s="723"/>
    </row>
    <row r="97" spans="1:25">
      <c r="D97" s="721"/>
      <c r="E97" s="722"/>
      <c r="F97" s="722"/>
      <c r="G97" s="722"/>
      <c r="H97" s="722"/>
      <c r="I97" s="723"/>
      <c r="N97" s="721"/>
      <c r="O97" s="722"/>
      <c r="P97" s="722"/>
      <c r="Q97" s="722"/>
      <c r="R97" s="722"/>
      <c r="S97" s="723"/>
    </row>
    <row r="98" spans="1:25">
      <c r="D98" s="721"/>
      <c r="E98" s="722"/>
      <c r="F98" s="722"/>
      <c r="G98" s="722"/>
      <c r="H98" s="722"/>
      <c r="I98" s="723"/>
      <c r="N98" s="721"/>
      <c r="O98" s="722"/>
      <c r="P98" s="722"/>
      <c r="Q98" s="722"/>
      <c r="R98" s="722"/>
      <c r="S98" s="723"/>
    </row>
    <row r="99" spans="1:25">
      <c r="D99" s="721"/>
      <c r="E99" s="722"/>
      <c r="F99" s="722"/>
      <c r="G99" s="722"/>
      <c r="H99" s="722"/>
      <c r="I99" s="723"/>
      <c r="N99" s="721"/>
      <c r="O99" s="722"/>
      <c r="P99" s="722"/>
      <c r="Q99" s="722"/>
      <c r="R99" s="722"/>
      <c r="S99" s="723"/>
    </row>
    <row r="100" spans="1:25">
      <c r="D100" s="721"/>
      <c r="E100" s="722"/>
      <c r="F100" s="722"/>
      <c r="G100" s="722"/>
      <c r="H100" s="722"/>
      <c r="I100" s="723"/>
      <c r="N100" s="721"/>
      <c r="O100" s="722"/>
      <c r="P100" s="722"/>
      <c r="Q100" s="722"/>
      <c r="R100" s="722"/>
      <c r="S100" s="723"/>
    </row>
    <row r="101" spans="1:25">
      <c r="D101" s="721"/>
      <c r="E101" s="722"/>
      <c r="F101" s="722"/>
      <c r="G101" s="722"/>
      <c r="H101" s="722"/>
      <c r="I101" s="723"/>
      <c r="N101" s="721"/>
      <c r="O101" s="722"/>
      <c r="P101" s="722"/>
      <c r="Q101" s="722"/>
      <c r="R101" s="722"/>
      <c r="S101" s="723"/>
    </row>
    <row r="102" spans="1:25">
      <c r="D102" s="721"/>
      <c r="E102" s="722"/>
      <c r="F102" s="722"/>
      <c r="G102" s="722"/>
      <c r="H102" s="722"/>
      <c r="I102" s="723"/>
      <c r="N102" s="721"/>
      <c r="O102" s="722"/>
      <c r="P102" s="722"/>
      <c r="Q102" s="722"/>
      <c r="R102" s="722"/>
      <c r="S102" s="723"/>
    </row>
    <row r="103" spans="1:25">
      <c r="D103" s="721"/>
      <c r="E103" s="722"/>
      <c r="F103" s="722"/>
      <c r="G103" s="722"/>
      <c r="H103" s="722"/>
      <c r="I103" s="723"/>
      <c r="N103" s="721"/>
      <c r="O103" s="722"/>
      <c r="P103" s="722"/>
      <c r="Q103" s="722"/>
      <c r="R103" s="722"/>
      <c r="S103" s="723"/>
    </row>
    <row r="104" spans="1:25">
      <c r="D104" s="724"/>
      <c r="E104" s="725"/>
      <c r="F104" s="725"/>
      <c r="G104" s="725"/>
      <c r="H104" s="725"/>
      <c r="I104" s="726"/>
      <c r="N104" s="724"/>
      <c r="O104" s="725"/>
      <c r="P104" s="725"/>
      <c r="Q104" s="725"/>
      <c r="R104" s="725"/>
      <c r="S104" s="726"/>
    </row>
    <row r="105" spans="1:25" ht="13" thickBot="1"/>
    <row r="106" spans="1:25" ht="18">
      <c r="A106" s="687" t="s">
        <v>614</v>
      </c>
      <c r="B106" s="687" t="s">
        <v>730</v>
      </c>
      <c r="C106" s="688" t="s">
        <v>616</v>
      </c>
      <c r="D106" s="689" t="s">
        <v>617</v>
      </c>
      <c r="E106" s="703" t="e">
        <v>#REF!</v>
      </c>
      <c r="F106" s="703" t="e">
        <v>#REF!</v>
      </c>
      <c r="G106" s="703" t="e">
        <v>#REF!</v>
      </c>
      <c r="H106" s="686" t="s">
        <v>721</v>
      </c>
      <c r="I106" s="701" t="s">
        <v>666</v>
      </c>
      <c r="K106" s="687" t="s">
        <v>614</v>
      </c>
      <c r="L106" s="687" t="s">
        <v>730</v>
      </c>
      <c r="M106" s="688" t="s">
        <v>616</v>
      </c>
      <c r="N106" s="689" t="s">
        <v>617</v>
      </c>
      <c r="O106" s="703" t="e">
        <v>#REF!</v>
      </c>
      <c r="P106" s="703" t="e">
        <v>#REF!</v>
      </c>
      <c r="Q106" s="703" t="e">
        <v>#REF!</v>
      </c>
      <c r="R106" s="686" t="s">
        <v>721</v>
      </c>
      <c r="S106" s="701" t="s">
        <v>666</v>
      </c>
    </row>
    <row r="107" spans="1:25" ht="26">
      <c r="A107" s="691" t="str">
        <f>+A56</f>
        <v>ALTRI INDICATORI</v>
      </c>
      <c r="B107" s="691" t="str">
        <f t="shared" ref="B107:D107" si="4">+B56</f>
        <v>POSIZIONE FINANZIARIA NETTA/MOL</v>
      </c>
      <c r="C107" s="691">
        <f t="shared" si="4"/>
        <v>0</v>
      </c>
      <c r="D107" s="691" t="str">
        <f t="shared" si="4"/>
        <v>PFN/MOL</v>
      </c>
      <c r="E107" s="707" cm="1">
        <f t="array" aca="1" ref="E107:G107" ca="1">+OFFSET(INDIRECT(MID(_xlfn.FORMULATEXT(D107),3,3)),$N$6,$O$6,$N$7,$O$7)</f>
        <v>-7.0901987212218058</v>
      </c>
      <c r="F107" s="696">
        <f ca="1"/>
        <v>-8.767843930350713</v>
      </c>
      <c r="G107" s="696">
        <f ca="1"/>
        <v>-8.2239068249686369</v>
      </c>
      <c r="H107" s="693">
        <v>-3.5000000000000003E-2</v>
      </c>
      <c r="I107" s="702" t="str">
        <f ca="1">+IF(AVERAGE(E107:G107)&gt;=U108,V108,IF(AVERAGE(E107:G107)&gt;=U109,V109,V110))</f>
        <v>🥲</v>
      </c>
      <c r="K107" s="697" t="str">
        <f>+A28</f>
        <v>LIQUIDITA'</v>
      </c>
      <c r="L107" s="697" t="str">
        <f t="shared" ref="L107:N107" si="5">+B28</f>
        <v>INDICE DI LIQUIDITA'</v>
      </c>
      <c r="M107" s="697" t="str">
        <f t="shared" si="5"/>
        <v>LIQUIDITA'/PASS CORR</v>
      </c>
      <c r="N107" s="697" t="str">
        <f t="shared" si="5"/>
        <v>LIQUIDITA'</v>
      </c>
      <c r="O107" s="709" cm="1">
        <f t="array" aca="1" ref="O107:Q107" ca="1">+OFFSET(INDIRECT(MID(_xlfn.FORMULATEXT(N107),3,3)),$N$6,$O$6,$N$7,$O$7)</f>
        <v>3.548661087049626E-3</v>
      </c>
      <c r="P107" s="710">
        <f ca="1"/>
        <v>4.5644543903758253E-3</v>
      </c>
      <c r="Q107" s="710">
        <f ca="1"/>
        <v>1.7034568324203641E-3</v>
      </c>
      <c r="R107" s="693">
        <v>0.3</v>
      </c>
      <c r="S107" s="702" t="str">
        <f ca="1">+IF(AVERAGE(O107:Q107)&gt;=X108,Y108,IF(AVERAGE(O107:Q107)&gt;=X109,Y109,Y110))</f>
        <v>🥲</v>
      </c>
    </row>
    <row r="108" spans="1:25" ht="28">
      <c r="C108" s="1"/>
      <c r="D108" s="727" t="s">
        <v>742</v>
      </c>
      <c r="E108" s="719"/>
      <c r="F108" s="719"/>
      <c r="G108" s="719"/>
      <c r="H108" s="719"/>
      <c r="I108" s="720"/>
      <c r="M108" s="1"/>
      <c r="N108" s="727" t="s">
        <v>742</v>
      </c>
      <c r="O108" s="719"/>
      <c r="P108" s="719"/>
      <c r="Q108" s="719"/>
      <c r="R108" s="719"/>
      <c r="S108" s="720"/>
      <c r="U108" s="93">
        <v>-3</v>
      </c>
      <c r="V108" s="694" t="s">
        <v>724</v>
      </c>
      <c r="X108" s="11">
        <v>0.5</v>
      </c>
      <c r="Y108" s="694" t="s">
        <v>724</v>
      </c>
    </row>
    <row r="109" spans="1:25" ht="28">
      <c r="D109" s="721"/>
      <c r="E109" s="722"/>
      <c r="F109" s="722"/>
      <c r="G109" s="722"/>
      <c r="H109" s="722"/>
      <c r="I109" s="723"/>
      <c r="N109" s="721"/>
      <c r="O109" s="722"/>
      <c r="P109" s="722"/>
      <c r="Q109" s="722"/>
      <c r="R109" s="722"/>
      <c r="S109" s="723"/>
      <c r="U109" s="93">
        <v>-3.5</v>
      </c>
      <c r="V109" s="694" t="s">
        <v>726</v>
      </c>
      <c r="X109" s="11">
        <v>0.3</v>
      </c>
      <c r="Y109" s="694" t="s">
        <v>726</v>
      </c>
    </row>
    <row r="110" spans="1:25" ht="28">
      <c r="D110" s="721"/>
      <c r="E110" s="722"/>
      <c r="F110" s="722"/>
      <c r="G110" s="722"/>
      <c r="H110" s="722"/>
      <c r="I110" s="723"/>
      <c r="N110" s="721"/>
      <c r="O110" s="722"/>
      <c r="P110" s="722"/>
      <c r="Q110" s="722"/>
      <c r="R110" s="722"/>
      <c r="S110" s="723"/>
      <c r="V110" s="694" t="s">
        <v>725</v>
      </c>
      <c r="Y110" s="694" t="s">
        <v>725</v>
      </c>
    </row>
    <row r="111" spans="1:25">
      <c r="D111" s="721"/>
      <c r="E111" s="722"/>
      <c r="F111" s="722"/>
      <c r="G111" s="722"/>
      <c r="H111" s="722"/>
      <c r="I111" s="723"/>
      <c r="N111" s="721"/>
      <c r="O111" s="722"/>
      <c r="P111" s="722"/>
      <c r="Q111" s="722"/>
      <c r="R111" s="722"/>
      <c r="S111" s="723"/>
    </row>
    <row r="112" spans="1:25">
      <c r="D112" s="721"/>
      <c r="E112" s="722"/>
      <c r="F112" s="722"/>
      <c r="G112" s="722"/>
      <c r="H112" s="722"/>
      <c r="I112" s="723"/>
      <c r="N112" s="721"/>
      <c r="O112" s="722"/>
      <c r="P112" s="722"/>
      <c r="Q112" s="722"/>
      <c r="R112" s="722"/>
      <c r="S112" s="723"/>
    </row>
    <row r="113" spans="1:19">
      <c r="D113" s="721"/>
      <c r="E113" s="722"/>
      <c r="F113" s="722"/>
      <c r="G113" s="722"/>
      <c r="H113" s="722"/>
      <c r="I113" s="723"/>
      <c r="N113" s="721"/>
      <c r="O113" s="722"/>
      <c r="P113" s="722"/>
      <c r="Q113" s="722"/>
      <c r="R113" s="722"/>
      <c r="S113" s="723"/>
    </row>
    <row r="114" spans="1:19">
      <c r="D114" s="721"/>
      <c r="E114" s="722"/>
      <c r="F114" s="722"/>
      <c r="G114" s="722"/>
      <c r="H114" s="722"/>
      <c r="I114" s="723"/>
      <c r="N114" s="721"/>
      <c r="O114" s="722"/>
      <c r="P114" s="722"/>
      <c r="Q114" s="722"/>
      <c r="R114" s="722"/>
      <c r="S114" s="723"/>
    </row>
    <row r="115" spans="1:19">
      <c r="D115" s="721"/>
      <c r="E115" s="722"/>
      <c r="F115" s="722"/>
      <c r="G115" s="722"/>
      <c r="H115" s="722"/>
      <c r="I115" s="723"/>
      <c r="N115" s="721"/>
      <c r="O115" s="722"/>
      <c r="P115" s="722"/>
      <c r="Q115" s="722"/>
      <c r="R115" s="722"/>
      <c r="S115" s="723"/>
    </row>
    <row r="116" spans="1:19">
      <c r="D116" s="724"/>
      <c r="E116" s="725"/>
      <c r="F116" s="725"/>
      <c r="G116" s="725"/>
      <c r="H116" s="725"/>
      <c r="I116" s="726"/>
      <c r="N116" s="724"/>
      <c r="O116" s="725"/>
      <c r="P116" s="725"/>
      <c r="Q116" s="725"/>
      <c r="R116" s="725"/>
      <c r="S116" s="726"/>
    </row>
    <row r="117" spans="1:19">
      <c r="D117" s="727" t="s">
        <v>743</v>
      </c>
      <c r="E117" s="719"/>
      <c r="F117" s="719"/>
      <c r="G117" s="719"/>
      <c r="H117" s="719"/>
      <c r="I117" s="720"/>
      <c r="N117" s="727" t="s">
        <v>743</v>
      </c>
      <c r="O117" s="719"/>
      <c r="P117" s="719"/>
      <c r="Q117" s="719"/>
      <c r="R117" s="719"/>
      <c r="S117" s="720"/>
    </row>
    <row r="118" spans="1:19">
      <c r="D118" s="721"/>
      <c r="E118" s="722"/>
      <c r="F118" s="722"/>
      <c r="G118" s="722"/>
      <c r="H118" s="722"/>
      <c r="I118" s="723"/>
      <c r="N118" s="721"/>
      <c r="O118" s="722"/>
      <c r="P118" s="722"/>
      <c r="Q118" s="722"/>
      <c r="R118" s="722"/>
      <c r="S118" s="723"/>
    </row>
    <row r="119" spans="1:19">
      <c r="D119" s="721"/>
      <c r="E119" s="722"/>
      <c r="F119" s="722"/>
      <c r="G119" s="722"/>
      <c r="H119" s="722"/>
      <c r="I119" s="723"/>
      <c r="N119" s="721"/>
      <c r="O119" s="722"/>
      <c r="P119" s="722"/>
      <c r="Q119" s="722"/>
      <c r="R119" s="722"/>
      <c r="S119" s="723"/>
    </row>
    <row r="120" spans="1:19">
      <c r="D120" s="721"/>
      <c r="E120" s="722"/>
      <c r="F120" s="722"/>
      <c r="G120" s="722"/>
      <c r="H120" s="722"/>
      <c r="I120" s="723"/>
      <c r="N120" s="721"/>
      <c r="O120" s="722"/>
      <c r="P120" s="722"/>
      <c r="Q120" s="722"/>
      <c r="R120" s="722"/>
      <c r="S120" s="723"/>
    </row>
    <row r="121" spans="1:19">
      <c r="D121" s="721"/>
      <c r="E121" s="722"/>
      <c r="F121" s="722"/>
      <c r="G121" s="722"/>
      <c r="H121" s="722"/>
      <c r="I121" s="723"/>
      <c r="N121" s="721"/>
      <c r="O121" s="722"/>
      <c r="P121" s="722"/>
      <c r="Q121" s="722"/>
      <c r="R121" s="722"/>
      <c r="S121" s="723"/>
    </row>
    <row r="122" spans="1:19">
      <c r="D122" s="721"/>
      <c r="E122" s="722"/>
      <c r="F122" s="722"/>
      <c r="G122" s="722"/>
      <c r="H122" s="722"/>
      <c r="I122" s="723"/>
      <c r="N122" s="721"/>
      <c r="O122" s="722"/>
      <c r="P122" s="722"/>
      <c r="Q122" s="722"/>
      <c r="R122" s="722"/>
      <c r="S122" s="723"/>
    </row>
    <row r="123" spans="1:19">
      <c r="D123" s="721"/>
      <c r="E123" s="722"/>
      <c r="F123" s="722"/>
      <c r="G123" s="722"/>
      <c r="H123" s="722"/>
      <c r="I123" s="723"/>
      <c r="N123" s="721"/>
      <c r="O123" s="722"/>
      <c r="P123" s="722"/>
      <c r="Q123" s="722"/>
      <c r="R123" s="722"/>
      <c r="S123" s="723"/>
    </row>
    <row r="124" spans="1:19">
      <c r="D124" s="721"/>
      <c r="E124" s="722"/>
      <c r="F124" s="722"/>
      <c r="G124" s="722"/>
      <c r="H124" s="722"/>
      <c r="I124" s="723"/>
      <c r="N124" s="721"/>
      <c r="O124" s="722"/>
      <c r="P124" s="722"/>
      <c r="Q124" s="722"/>
      <c r="R124" s="722"/>
      <c r="S124" s="723"/>
    </row>
    <row r="125" spans="1:19">
      <c r="D125" s="721"/>
      <c r="E125" s="722"/>
      <c r="F125" s="722"/>
      <c r="G125" s="722"/>
      <c r="H125" s="722"/>
      <c r="I125" s="723"/>
      <c r="N125" s="721"/>
      <c r="O125" s="722"/>
      <c r="P125" s="722"/>
      <c r="Q125" s="722"/>
      <c r="R125" s="722"/>
      <c r="S125" s="723"/>
    </row>
    <row r="126" spans="1:19">
      <c r="D126" s="724"/>
      <c r="E126" s="725"/>
      <c r="F126" s="725"/>
      <c r="G126" s="725"/>
      <c r="H126" s="725"/>
      <c r="I126" s="726"/>
      <c r="N126" s="724"/>
      <c r="O126" s="725"/>
      <c r="P126" s="725"/>
      <c r="Q126" s="725"/>
      <c r="R126" s="725"/>
      <c r="S126" s="726"/>
    </row>
    <row r="127" spans="1:19" ht="13" thickBot="1"/>
    <row r="128" spans="1:19" ht="18">
      <c r="A128" s="687" t="s">
        <v>614</v>
      </c>
      <c r="B128" s="687" t="s">
        <v>730</v>
      </c>
      <c r="C128" s="688" t="s">
        <v>616</v>
      </c>
      <c r="D128" s="689" t="s">
        <v>617</v>
      </c>
      <c r="E128" s="703" t="e">
        <v>#REF!</v>
      </c>
      <c r="F128" s="703" t="e">
        <v>#REF!</v>
      </c>
      <c r="G128" s="703" t="e">
        <v>#REF!</v>
      </c>
      <c r="H128" s="686" t="s">
        <v>721</v>
      </c>
      <c r="I128" s="701" t="s">
        <v>666</v>
      </c>
      <c r="K128" s="687" t="s">
        <v>614</v>
      </c>
      <c r="L128" s="687" t="s">
        <v>730</v>
      </c>
      <c r="M128" s="688" t="s">
        <v>616</v>
      </c>
      <c r="N128" s="689" t="s">
        <v>617</v>
      </c>
      <c r="O128" s="711" t="e">
        <v>#REF!</v>
      </c>
      <c r="P128" s="711" t="e">
        <v>#REF!</v>
      </c>
      <c r="Q128" s="711" t="e">
        <v>#REF!</v>
      </c>
      <c r="R128" s="712" t="s">
        <v>721</v>
      </c>
      <c r="S128" s="701" t="s">
        <v>666</v>
      </c>
    </row>
    <row r="129" spans="1:25" ht="26">
      <c r="A129" s="697" t="str">
        <f>+A39</f>
        <v>LIQUIDITA'</v>
      </c>
      <c r="B129" s="697" t="str">
        <f t="shared" ref="B129:D129" si="6">+B39</f>
        <v>CASH DA GESTIONE REDDITUALE</v>
      </c>
      <c r="C129" s="697" t="str">
        <f t="shared" si="6"/>
        <v>UTILE +AMMORTAMENTI +IMPOSTE</v>
      </c>
      <c r="D129" s="697" t="str">
        <f t="shared" si="6"/>
        <v>CASH REDDITUALE</v>
      </c>
      <c r="E129" s="707" cm="1">
        <f t="array" aca="1" ref="E129:G129" ca="1">+OFFSET(INDIRECT(MID(_xlfn.FORMULATEXT(D129),3,3)),$N$6,$O$6,$N$7,$O$7)</f>
        <v>502135</v>
      </c>
      <c r="F129" s="696">
        <f ca="1"/>
        <v>467987</v>
      </c>
      <c r="G129" s="696">
        <f ca="1"/>
        <v>423822</v>
      </c>
      <c r="H129" s="708">
        <v>1000000</v>
      </c>
      <c r="I129" s="702" t="str">
        <f ca="1">+IF(AVERAGE(E129:G129)&gt;=U130,V130,IF(AVERAGE(E129:G129)&gt;=U131,V131,V132))</f>
        <v>🥲</v>
      </c>
      <c r="K129" s="697" t="str">
        <f>+A41</f>
        <v>EFFICIENZA</v>
      </c>
      <c r="L129" s="697" t="str">
        <f t="shared" ref="L129:N129" si="7">+B41</f>
        <v>RENDIMENTO PERSONALE</v>
      </c>
      <c r="M129" s="697" t="str">
        <f t="shared" si="7"/>
        <v>RICAVI/COSTO PERSONALE</v>
      </c>
      <c r="N129" s="697" t="str">
        <f t="shared" si="7"/>
        <v>R/COSTO PER</v>
      </c>
      <c r="O129" s="707" cm="1">
        <f t="array" aca="1" ref="O129:Q129" ca="1">+OFFSET(INDIRECT(MID(_xlfn.FORMULATEXT(N129),3,3)),$N$6,$O$6,$N$7,$O$7)</f>
        <v>6.5903520228404808</v>
      </c>
      <c r="P129" s="696">
        <f ca="1"/>
        <v>6.8584392731673285</v>
      </c>
      <c r="Q129" s="696">
        <f ca="1"/>
        <v>7.0818394982190682</v>
      </c>
      <c r="R129" s="708">
        <v>5</v>
      </c>
      <c r="S129" s="702" t="str">
        <f ca="1">+IF(AVERAGE(O129:Q129)&gt;=X130,Y130,IF(AVERAGE(O129:Q129)&gt;=X131,Y131,Y132))</f>
        <v xml:space="preserve">😄 </v>
      </c>
    </row>
    <row r="130" spans="1:25" ht="28">
      <c r="D130" s="727" t="s">
        <v>742</v>
      </c>
      <c r="E130" s="719"/>
      <c r="F130" s="719"/>
      <c r="G130" s="719"/>
      <c r="H130" s="719"/>
      <c r="I130" s="720"/>
      <c r="M130" s="1"/>
      <c r="N130" s="727" t="s">
        <v>742</v>
      </c>
      <c r="O130" s="719"/>
      <c r="P130" s="719"/>
      <c r="Q130" s="719"/>
      <c r="R130" s="719"/>
      <c r="S130" s="720"/>
      <c r="U130" s="93">
        <v>900000</v>
      </c>
      <c r="V130" s="694" t="s">
        <v>724</v>
      </c>
      <c r="X130" s="93">
        <v>5</v>
      </c>
      <c r="Y130" s="694" t="s">
        <v>724</v>
      </c>
    </row>
    <row r="131" spans="1:25" ht="28">
      <c r="D131" s="721"/>
      <c r="E131" s="722"/>
      <c r="F131" s="722"/>
      <c r="G131" s="722"/>
      <c r="H131" s="722"/>
      <c r="I131" s="723"/>
      <c r="N131" s="721"/>
      <c r="O131" s="722"/>
      <c r="P131" s="722"/>
      <c r="Q131" s="722"/>
      <c r="R131" s="722"/>
      <c r="S131" s="723"/>
      <c r="U131" s="93">
        <v>500000</v>
      </c>
      <c r="V131" s="694" t="s">
        <v>726</v>
      </c>
      <c r="X131" s="93">
        <v>3</v>
      </c>
      <c r="Y131" s="694" t="s">
        <v>726</v>
      </c>
    </row>
    <row r="132" spans="1:25" ht="28">
      <c r="D132" s="721"/>
      <c r="E132" s="722"/>
      <c r="F132" s="722"/>
      <c r="G132" s="722"/>
      <c r="H132" s="722"/>
      <c r="I132" s="723"/>
      <c r="N132" s="721"/>
      <c r="O132" s="722"/>
      <c r="P132" s="722"/>
      <c r="Q132" s="722"/>
      <c r="R132" s="722"/>
      <c r="S132" s="723"/>
      <c r="V132" s="694" t="s">
        <v>725</v>
      </c>
      <c r="Y132" s="694" t="s">
        <v>725</v>
      </c>
    </row>
    <row r="133" spans="1:25">
      <c r="D133" s="721"/>
      <c r="E133" s="722"/>
      <c r="F133" s="722"/>
      <c r="G133" s="722"/>
      <c r="H133" s="722"/>
      <c r="I133" s="723"/>
      <c r="N133" s="721"/>
      <c r="O133" s="722"/>
      <c r="P133" s="722"/>
      <c r="Q133" s="722"/>
      <c r="R133" s="722"/>
      <c r="S133" s="723"/>
    </row>
    <row r="134" spans="1:25">
      <c r="D134" s="721"/>
      <c r="E134" s="722"/>
      <c r="F134" s="722"/>
      <c r="G134" s="722"/>
      <c r="H134" s="722"/>
      <c r="I134" s="723"/>
      <c r="N134" s="721"/>
      <c r="O134" s="722"/>
      <c r="P134" s="722"/>
      <c r="Q134" s="722"/>
      <c r="R134" s="722"/>
      <c r="S134" s="723"/>
    </row>
    <row r="135" spans="1:25">
      <c r="D135" s="721"/>
      <c r="E135" s="722"/>
      <c r="F135" s="722"/>
      <c r="G135" s="722"/>
      <c r="H135" s="722"/>
      <c r="I135" s="723"/>
      <c r="N135" s="721"/>
      <c r="O135" s="722"/>
      <c r="P135" s="722"/>
      <c r="Q135" s="722"/>
      <c r="R135" s="722"/>
      <c r="S135" s="723"/>
    </row>
    <row r="136" spans="1:25">
      <c r="D136" s="721"/>
      <c r="E136" s="722"/>
      <c r="F136" s="722"/>
      <c r="G136" s="722"/>
      <c r="H136" s="722"/>
      <c r="I136" s="723"/>
      <c r="N136" s="721"/>
      <c r="O136" s="722"/>
      <c r="P136" s="722"/>
      <c r="Q136" s="722"/>
      <c r="R136" s="722"/>
      <c r="S136" s="723"/>
    </row>
    <row r="137" spans="1:25">
      <c r="D137" s="721"/>
      <c r="E137" s="722"/>
      <c r="F137" s="722"/>
      <c r="G137" s="722"/>
      <c r="H137" s="722"/>
      <c r="I137" s="723"/>
      <c r="N137" s="721"/>
      <c r="O137" s="722"/>
      <c r="P137" s="722"/>
      <c r="Q137" s="722"/>
      <c r="R137" s="722"/>
      <c r="S137" s="723"/>
    </row>
    <row r="138" spans="1:25">
      <c r="D138" s="724"/>
      <c r="E138" s="725"/>
      <c r="F138" s="725"/>
      <c r="G138" s="725"/>
      <c r="H138" s="725"/>
      <c r="I138" s="726"/>
      <c r="N138" s="724"/>
      <c r="O138" s="725"/>
      <c r="P138" s="725"/>
      <c r="Q138" s="725"/>
      <c r="R138" s="725"/>
      <c r="S138" s="726"/>
    </row>
    <row r="139" spans="1:25">
      <c r="D139" s="727" t="s">
        <v>743</v>
      </c>
      <c r="E139" s="719"/>
      <c r="F139" s="719"/>
      <c r="G139" s="719"/>
      <c r="H139" s="719"/>
      <c r="I139" s="720"/>
      <c r="N139" s="727" t="s">
        <v>743</v>
      </c>
      <c r="O139" s="719"/>
      <c r="P139" s="719"/>
      <c r="Q139" s="719"/>
      <c r="R139" s="719"/>
      <c r="S139" s="720"/>
    </row>
    <row r="140" spans="1:25">
      <c r="D140" s="721"/>
      <c r="E140" s="722"/>
      <c r="F140" s="722"/>
      <c r="G140" s="722"/>
      <c r="H140" s="722"/>
      <c r="I140" s="723"/>
      <c r="N140" s="721"/>
      <c r="O140" s="722"/>
      <c r="P140" s="722"/>
      <c r="Q140" s="722"/>
      <c r="R140" s="722"/>
      <c r="S140" s="723"/>
    </row>
    <row r="141" spans="1:25">
      <c r="D141" s="721"/>
      <c r="E141" s="722"/>
      <c r="F141" s="722"/>
      <c r="G141" s="722"/>
      <c r="H141" s="722"/>
      <c r="I141" s="723"/>
      <c r="N141" s="721"/>
      <c r="O141" s="722"/>
      <c r="P141" s="722"/>
      <c r="Q141" s="722"/>
      <c r="R141" s="722"/>
      <c r="S141" s="723"/>
    </row>
    <row r="142" spans="1:25">
      <c r="D142" s="721"/>
      <c r="E142" s="722"/>
      <c r="F142" s="722"/>
      <c r="G142" s="722"/>
      <c r="H142" s="722"/>
      <c r="I142" s="723"/>
      <c r="N142" s="721"/>
      <c r="O142" s="722"/>
      <c r="P142" s="722"/>
      <c r="Q142" s="722"/>
      <c r="R142" s="722"/>
      <c r="S142" s="723"/>
    </row>
    <row r="143" spans="1:25">
      <c r="D143" s="721"/>
      <c r="E143" s="722"/>
      <c r="F143" s="722"/>
      <c r="G143" s="722"/>
      <c r="H143" s="722"/>
      <c r="I143" s="723"/>
      <c r="N143" s="721"/>
      <c r="O143" s="722"/>
      <c r="P143" s="722"/>
      <c r="Q143" s="722"/>
      <c r="R143" s="722"/>
      <c r="S143" s="723"/>
    </row>
    <row r="144" spans="1:25">
      <c r="D144" s="721"/>
      <c r="E144" s="722"/>
      <c r="F144" s="722"/>
      <c r="G144" s="722"/>
      <c r="H144" s="722"/>
      <c r="I144" s="723"/>
      <c r="N144" s="721"/>
      <c r="O144" s="722"/>
      <c r="P144" s="722"/>
      <c r="Q144" s="722"/>
      <c r="R144" s="722"/>
      <c r="S144" s="723"/>
    </row>
    <row r="145" spans="1:25">
      <c r="D145" s="721"/>
      <c r="E145" s="722"/>
      <c r="F145" s="722"/>
      <c r="G145" s="722"/>
      <c r="H145" s="722"/>
      <c r="I145" s="723"/>
      <c r="N145" s="721"/>
      <c r="O145" s="722"/>
      <c r="P145" s="722"/>
      <c r="Q145" s="722"/>
      <c r="R145" s="722"/>
      <c r="S145" s="723"/>
    </row>
    <row r="146" spans="1:25">
      <c r="D146" s="721"/>
      <c r="E146" s="722"/>
      <c r="F146" s="722"/>
      <c r="G146" s="722"/>
      <c r="H146" s="722"/>
      <c r="I146" s="723"/>
      <c r="N146" s="721"/>
      <c r="O146" s="722"/>
      <c r="P146" s="722"/>
      <c r="Q146" s="722"/>
      <c r="R146" s="722"/>
      <c r="S146" s="723"/>
    </row>
    <row r="147" spans="1:25">
      <c r="D147" s="721"/>
      <c r="E147" s="722"/>
      <c r="F147" s="722"/>
      <c r="G147" s="722"/>
      <c r="H147" s="722"/>
      <c r="I147" s="723"/>
      <c r="N147" s="721"/>
      <c r="O147" s="722"/>
      <c r="P147" s="722"/>
      <c r="Q147" s="722"/>
      <c r="R147" s="722"/>
      <c r="S147" s="723"/>
    </row>
    <row r="148" spans="1:25">
      <c r="D148" s="724"/>
      <c r="E148" s="725"/>
      <c r="F148" s="725"/>
      <c r="G148" s="725"/>
      <c r="H148" s="725"/>
      <c r="I148" s="726"/>
      <c r="N148" s="724"/>
      <c r="O148" s="725"/>
      <c r="P148" s="725"/>
      <c r="Q148" s="725"/>
      <c r="R148" s="725"/>
      <c r="S148" s="726"/>
    </row>
    <row r="149" spans="1:25" ht="13" thickBot="1"/>
    <row r="150" spans="1:25" ht="18">
      <c r="A150" s="687" t="s">
        <v>614</v>
      </c>
      <c r="B150" s="687" t="s">
        <v>730</v>
      </c>
      <c r="C150" s="688" t="s">
        <v>616</v>
      </c>
      <c r="D150" s="689" t="s">
        <v>617</v>
      </c>
      <c r="E150" s="703" t="e">
        <v>#REF!</v>
      </c>
      <c r="F150" s="703" t="e">
        <v>#REF!</v>
      </c>
      <c r="G150" s="703" t="e">
        <v>#REF!</v>
      </c>
      <c r="H150" s="686" t="s">
        <v>721</v>
      </c>
      <c r="I150" s="701" t="s">
        <v>666</v>
      </c>
      <c r="K150" s="687" t="s">
        <v>614</v>
      </c>
      <c r="L150" s="687" t="s">
        <v>730</v>
      </c>
      <c r="M150" s="688" t="s">
        <v>616</v>
      </c>
      <c r="N150" s="689" t="s">
        <v>617</v>
      </c>
      <c r="O150" s="703" t="e">
        <v>#REF!</v>
      </c>
      <c r="P150" s="703" t="e">
        <v>#REF!</v>
      </c>
      <c r="Q150" s="703" t="e">
        <v>#REF!</v>
      </c>
      <c r="R150" s="686" t="s">
        <v>721</v>
      </c>
      <c r="S150" s="701" t="s">
        <v>666</v>
      </c>
    </row>
    <row r="151" spans="1:25" ht="26">
      <c r="A151" s="697" t="str">
        <f>+A42</f>
        <v>EFFICIENZA</v>
      </c>
      <c r="B151" s="697" t="str">
        <f t="shared" ref="B151:D151" si="8">+B42</f>
        <v>VALORE AGGIUNTO</v>
      </c>
      <c r="C151" s="697" t="str">
        <f t="shared" si="8"/>
        <v>VALORE AGGIUNTO/PRO CAPITE</v>
      </c>
      <c r="D151" s="697" t="str">
        <f t="shared" si="8"/>
        <v>VA/PER</v>
      </c>
      <c r="E151" s="707" cm="1">
        <f t="array" aca="1" ref="E151:G151" ca="1">+OFFSET(INDIRECT(MID(_xlfn.FORMULATEXT(D151),3,3)),$N$6,$O$6,$N$7,$O$7)</f>
        <v>90994.21428571429</v>
      </c>
      <c r="F151" s="696">
        <f ca="1"/>
        <v>86805.357142857145</v>
      </c>
      <c r="G151" s="696">
        <f ca="1"/>
        <v>84624.8</v>
      </c>
      <c r="H151" s="93">
        <v>70000</v>
      </c>
      <c r="I151" s="702" t="str">
        <f ca="1">+IF(AVERAGE(E151:G151)&gt;=U152,V152,IF(AVERAGE(E151:G151)&gt;=U153,V153,V154))</f>
        <v xml:space="preserve">😄 </v>
      </c>
      <c r="K151" s="697" t="str">
        <f>+A35</f>
        <v>LIQUIDITA'</v>
      </c>
      <c r="L151" s="697" t="str">
        <f t="shared" ref="L151:N151" si="9">+B35</f>
        <v>INDICE CREDITO CLIENTI</v>
      </c>
      <c r="M151" s="697" t="str">
        <f t="shared" si="9"/>
        <v>CLIENTI/RICAVIX360</v>
      </c>
      <c r="N151" s="697" t="str">
        <f t="shared" si="9"/>
        <v>GG CLIENTI</v>
      </c>
      <c r="O151" s="707" cm="1">
        <f t="array" aca="1" ref="O151:Q151" ca="1">+OFFSET(INDIRECT(MID(_xlfn.FORMULATEXT(N151),3,3)),$N$6,$O$6,$N$7,$O$7)</f>
        <v>83.394333368282673</v>
      </c>
      <c r="P151" s="696">
        <f ca="1"/>
        <v>83.801336930217076</v>
      </c>
      <c r="Q151" s="696">
        <f ca="1"/>
        <v>83.233442512022393</v>
      </c>
      <c r="R151" s="708">
        <v>30</v>
      </c>
      <c r="S151" s="702" t="str">
        <f ca="1">+IF(AVERAGE(O151:Q151)&lt;=X152,Y152,IF(AVERAGE(O151:Q151)&lt;=X153,Y153,Y154))</f>
        <v>🥲</v>
      </c>
    </row>
    <row r="152" spans="1:25" ht="28">
      <c r="D152" s="727" t="s">
        <v>742</v>
      </c>
      <c r="E152" s="719"/>
      <c r="F152" s="719"/>
      <c r="G152" s="719"/>
      <c r="H152" s="719"/>
      <c r="I152" s="720"/>
      <c r="M152" s="1"/>
      <c r="N152" s="727" t="s">
        <v>742</v>
      </c>
      <c r="O152" s="719"/>
      <c r="P152" s="719"/>
      <c r="Q152" s="719"/>
      <c r="R152" s="719"/>
      <c r="S152" s="720"/>
      <c r="U152" s="93">
        <v>30</v>
      </c>
      <c r="V152" s="694" t="s">
        <v>724</v>
      </c>
      <c r="X152" s="11">
        <v>0.12</v>
      </c>
      <c r="Y152" s="694" t="s">
        <v>724</v>
      </c>
    </row>
    <row r="153" spans="1:25" ht="28">
      <c r="D153" s="721"/>
      <c r="E153" s="722"/>
      <c r="F153" s="722"/>
      <c r="G153" s="722"/>
      <c r="H153" s="722"/>
      <c r="I153" s="723"/>
      <c r="N153" s="721"/>
      <c r="O153" s="722"/>
      <c r="P153" s="722"/>
      <c r="Q153" s="722"/>
      <c r="R153" s="722"/>
      <c r="S153" s="723"/>
      <c r="U153" s="93">
        <v>60</v>
      </c>
      <c r="V153" s="694" t="s">
        <v>726</v>
      </c>
      <c r="X153" s="11">
        <v>0.06</v>
      </c>
      <c r="Y153" s="694" t="s">
        <v>726</v>
      </c>
    </row>
    <row r="154" spans="1:25" ht="28">
      <c r="D154" s="721"/>
      <c r="E154" s="722"/>
      <c r="F154" s="722"/>
      <c r="G154" s="722"/>
      <c r="H154" s="722"/>
      <c r="I154" s="723"/>
      <c r="N154" s="721"/>
      <c r="O154" s="722"/>
      <c r="P154" s="722"/>
      <c r="Q154" s="722"/>
      <c r="R154" s="722"/>
      <c r="S154" s="723"/>
      <c r="V154" s="694" t="s">
        <v>725</v>
      </c>
      <c r="Y154" s="694" t="s">
        <v>725</v>
      </c>
    </row>
    <row r="155" spans="1:25">
      <c r="D155" s="721"/>
      <c r="E155" s="722"/>
      <c r="F155" s="722"/>
      <c r="G155" s="722"/>
      <c r="H155" s="722"/>
      <c r="I155" s="723"/>
      <c r="N155" s="721"/>
      <c r="O155" s="722"/>
      <c r="P155" s="722"/>
      <c r="Q155" s="722"/>
      <c r="R155" s="722"/>
      <c r="S155" s="723"/>
    </row>
    <row r="156" spans="1:25">
      <c r="D156" s="721"/>
      <c r="E156" s="722"/>
      <c r="F156" s="722"/>
      <c r="G156" s="722"/>
      <c r="H156" s="722"/>
      <c r="I156" s="723"/>
      <c r="N156" s="721"/>
      <c r="O156" s="722"/>
      <c r="P156" s="722"/>
      <c r="Q156" s="722"/>
      <c r="R156" s="722"/>
      <c r="S156" s="723"/>
    </row>
    <row r="157" spans="1:25">
      <c r="D157" s="721"/>
      <c r="E157" s="722"/>
      <c r="F157" s="722"/>
      <c r="G157" s="722"/>
      <c r="H157" s="722"/>
      <c r="I157" s="723"/>
      <c r="N157" s="721"/>
      <c r="O157" s="722"/>
      <c r="P157" s="722"/>
      <c r="Q157" s="722"/>
      <c r="R157" s="722"/>
      <c r="S157" s="723"/>
    </row>
    <row r="158" spans="1:25">
      <c r="D158" s="721"/>
      <c r="E158" s="722"/>
      <c r="F158" s="722"/>
      <c r="G158" s="722"/>
      <c r="H158" s="722"/>
      <c r="I158" s="723"/>
      <c r="N158" s="721"/>
      <c r="O158" s="722"/>
      <c r="P158" s="722"/>
      <c r="Q158" s="722"/>
      <c r="R158" s="722"/>
      <c r="S158" s="723"/>
    </row>
    <row r="159" spans="1:25">
      <c r="D159" s="721"/>
      <c r="E159" s="722"/>
      <c r="F159" s="722"/>
      <c r="G159" s="722"/>
      <c r="H159" s="722"/>
      <c r="I159" s="723"/>
      <c r="N159" s="721"/>
      <c r="O159" s="722"/>
      <c r="P159" s="722"/>
      <c r="Q159" s="722"/>
      <c r="R159" s="722"/>
      <c r="S159" s="723"/>
    </row>
    <row r="160" spans="1:25">
      <c r="D160" s="724"/>
      <c r="E160" s="725"/>
      <c r="F160" s="725"/>
      <c r="G160" s="725"/>
      <c r="H160" s="725"/>
      <c r="I160" s="726"/>
      <c r="N160" s="724"/>
      <c r="O160" s="725"/>
      <c r="P160" s="725"/>
      <c r="Q160" s="725"/>
      <c r="R160" s="725"/>
      <c r="S160" s="726"/>
    </row>
    <row r="161" spans="1:19">
      <c r="D161" s="727" t="s">
        <v>743</v>
      </c>
      <c r="E161" s="719"/>
      <c r="F161" s="719"/>
      <c r="G161" s="719"/>
      <c r="H161" s="719"/>
      <c r="I161" s="720"/>
      <c r="N161" s="718" t="s">
        <v>723</v>
      </c>
      <c r="O161" s="719"/>
      <c r="P161" s="719"/>
      <c r="Q161" s="719"/>
      <c r="R161" s="719"/>
      <c r="S161" s="720"/>
    </row>
    <row r="162" spans="1:19">
      <c r="D162" s="721"/>
      <c r="E162" s="722"/>
      <c r="F162" s="722"/>
      <c r="G162" s="722"/>
      <c r="H162" s="722"/>
      <c r="I162" s="723"/>
      <c r="N162" s="721"/>
      <c r="O162" s="722"/>
      <c r="P162" s="722"/>
      <c r="Q162" s="722"/>
      <c r="R162" s="722"/>
      <c r="S162" s="723"/>
    </row>
    <row r="163" spans="1:19">
      <c r="D163" s="721"/>
      <c r="E163" s="722"/>
      <c r="F163" s="722"/>
      <c r="G163" s="722"/>
      <c r="H163" s="722"/>
      <c r="I163" s="723"/>
      <c r="N163" s="721"/>
      <c r="O163" s="722"/>
      <c r="P163" s="722"/>
      <c r="Q163" s="722"/>
      <c r="R163" s="722"/>
      <c r="S163" s="723"/>
    </row>
    <row r="164" spans="1:19">
      <c r="D164" s="721"/>
      <c r="E164" s="722"/>
      <c r="F164" s="722"/>
      <c r="G164" s="722"/>
      <c r="H164" s="722"/>
      <c r="I164" s="723"/>
      <c r="N164" s="721"/>
      <c r="O164" s="722"/>
      <c r="P164" s="722"/>
      <c r="Q164" s="722"/>
      <c r="R164" s="722"/>
      <c r="S164" s="723"/>
    </row>
    <row r="165" spans="1:19">
      <c r="D165" s="721"/>
      <c r="E165" s="722"/>
      <c r="F165" s="722"/>
      <c r="G165" s="722"/>
      <c r="H165" s="722"/>
      <c r="I165" s="723"/>
      <c r="N165" s="721"/>
      <c r="O165" s="722"/>
      <c r="P165" s="722"/>
      <c r="Q165" s="722"/>
      <c r="R165" s="722"/>
      <c r="S165" s="723"/>
    </row>
    <row r="166" spans="1:19">
      <c r="D166" s="721"/>
      <c r="E166" s="722"/>
      <c r="F166" s="722"/>
      <c r="G166" s="722"/>
      <c r="H166" s="722"/>
      <c r="I166" s="723"/>
      <c r="N166" s="721"/>
      <c r="O166" s="722"/>
      <c r="P166" s="722"/>
      <c r="Q166" s="722"/>
      <c r="R166" s="722"/>
      <c r="S166" s="723"/>
    </row>
    <row r="167" spans="1:19">
      <c r="D167" s="721"/>
      <c r="E167" s="722"/>
      <c r="F167" s="722"/>
      <c r="G167" s="722"/>
      <c r="H167" s="722"/>
      <c r="I167" s="723"/>
      <c r="N167" s="721"/>
      <c r="O167" s="722"/>
      <c r="P167" s="722"/>
      <c r="Q167" s="722"/>
      <c r="R167" s="722"/>
      <c r="S167" s="723"/>
    </row>
    <row r="168" spans="1:19">
      <c r="D168" s="721"/>
      <c r="E168" s="722"/>
      <c r="F168" s="722"/>
      <c r="G168" s="722"/>
      <c r="H168" s="722"/>
      <c r="I168" s="723"/>
      <c r="N168" s="721"/>
      <c r="O168" s="722"/>
      <c r="P168" s="722"/>
      <c r="Q168" s="722"/>
      <c r="R168" s="722"/>
      <c r="S168" s="723"/>
    </row>
    <row r="169" spans="1:19">
      <c r="D169" s="721"/>
      <c r="E169" s="722"/>
      <c r="F169" s="722"/>
      <c r="G169" s="722"/>
      <c r="H169" s="722"/>
      <c r="I169" s="723"/>
      <c r="N169" s="721"/>
      <c r="O169" s="722"/>
      <c r="P169" s="722"/>
      <c r="Q169" s="722"/>
      <c r="R169" s="722"/>
      <c r="S169" s="723"/>
    </row>
    <row r="170" spans="1:19">
      <c r="D170" s="724"/>
      <c r="E170" s="725"/>
      <c r="F170" s="725"/>
      <c r="G170" s="725"/>
      <c r="H170" s="725"/>
      <c r="I170" s="726"/>
      <c r="N170" s="724"/>
      <c r="O170" s="725"/>
      <c r="P170" s="725"/>
      <c r="Q170" s="725"/>
      <c r="R170" s="725"/>
      <c r="S170" s="726"/>
    </row>
    <row r="174" spans="1:19" ht="13" thickBot="1"/>
    <row r="175" spans="1:19" ht="18">
      <c r="A175" s="687" t="s">
        <v>614</v>
      </c>
      <c r="B175" s="687" t="s">
        <v>730</v>
      </c>
      <c r="C175" s="688" t="s">
        <v>616</v>
      </c>
      <c r="D175" s="689" t="s">
        <v>617</v>
      </c>
      <c r="E175" s="703" t="e">
        <v>#REF!</v>
      </c>
      <c r="F175" s="703" t="e">
        <v>#REF!</v>
      </c>
      <c r="G175" s="703" t="e">
        <v>#REF!</v>
      </c>
      <c r="H175" s="686" t="s">
        <v>721</v>
      </c>
      <c r="I175" s="701" t="s">
        <v>666</v>
      </c>
      <c r="K175" s="687" t="s">
        <v>614</v>
      </c>
      <c r="L175" s="687" t="s">
        <v>730</v>
      </c>
      <c r="M175" s="688" t="s">
        <v>616</v>
      </c>
      <c r="N175" s="689" t="s">
        <v>617</v>
      </c>
      <c r="O175" s="703" t="e">
        <v>#REF!</v>
      </c>
      <c r="P175" s="703" t="e">
        <v>#REF!</v>
      </c>
      <c r="Q175" s="703" t="e">
        <v>#REF!</v>
      </c>
      <c r="R175" s="686" t="s">
        <v>721</v>
      </c>
      <c r="S175" s="701" t="s">
        <v>666</v>
      </c>
    </row>
    <row r="176" spans="1:19" ht="26">
      <c r="A176" s="697" t="str">
        <f>+A37</f>
        <v>LIQUIDITA'</v>
      </c>
      <c r="B176" s="697" t="str">
        <f t="shared" ref="B176:D176" si="10">+B37</f>
        <v>INDICE CREDITO FORNITORI</v>
      </c>
      <c r="C176" s="697" t="str">
        <f t="shared" si="10"/>
        <v>FORNITORI/ACQUISTI  GG</v>
      </c>
      <c r="D176" s="697" t="str">
        <f t="shared" si="10"/>
        <v>GG FOR</v>
      </c>
      <c r="E176" s="707" cm="1">
        <f t="array" aca="1" ref="E176:G176" ca="1">+OFFSET(INDIRECT(MID(_xlfn.FORMULATEXT(D176),3,3)),$N$6,$O$6,$N$7,$O$7)</f>
        <v>206.77743319828386</v>
      </c>
      <c r="F176" s="696">
        <f ca="1"/>
        <v>228.86974992117621</v>
      </c>
      <c r="G176" s="696">
        <f ca="1"/>
        <v>200.18575062416437</v>
      </c>
      <c r="H176" s="708">
        <v>60</v>
      </c>
      <c r="I176" s="702" t="str">
        <f ca="1">+IF(AVERAGE(E176:G176)&gt;=U177,V177,IF(AVERAGE(E176:G176)&gt;=U178,V178,V179))</f>
        <v xml:space="preserve">😄 </v>
      </c>
      <c r="K176" s="697" t="str">
        <f>+A31</f>
        <v>LIQUIDITA'</v>
      </c>
      <c r="L176" s="697" t="str">
        <f t="shared" ref="L176:N176" si="11">+B31</f>
        <v>GIORNI MAGAZZINO</v>
      </c>
      <c r="M176" s="697" t="str">
        <f t="shared" si="11"/>
        <v>MAGAZZINO/RICAVI X 360</v>
      </c>
      <c r="N176" s="697" t="str">
        <f t="shared" si="11"/>
        <v>GG MAGAZZINO</v>
      </c>
      <c r="O176" s="707" cm="1">
        <f t="array" aca="1" ref="O176:Q176" ca="1">+OFFSET(INDIRECT(MID(_xlfn.FORMULATEXT(N176),3,3)),$N$6,$O$6,$N$7,$O$7)</f>
        <v>205.28443191389098</v>
      </c>
      <c r="P176" s="696">
        <f ca="1"/>
        <v>212.81913956025377</v>
      </c>
      <c r="Q176" s="696">
        <f ca="1"/>
        <v>199.7077768880408</v>
      </c>
      <c r="R176" s="708">
        <v>60</v>
      </c>
      <c r="S176" s="702" t="str">
        <f ca="1">+IF(AVERAGE(O176:Q176)&lt;=X177,Y177,IF(AVERAGE(O176:Q176)&lt;=X178,Y178,Y179))</f>
        <v>🥲</v>
      </c>
    </row>
    <row r="177" spans="3:25" ht="28">
      <c r="C177" s="1"/>
      <c r="D177" s="727" t="s">
        <v>742</v>
      </c>
      <c r="E177" s="719"/>
      <c r="F177" s="719"/>
      <c r="G177" s="719"/>
      <c r="H177" s="719"/>
      <c r="I177" s="720"/>
      <c r="M177" s="1"/>
      <c r="N177" s="727" t="s">
        <v>742</v>
      </c>
      <c r="O177" s="719"/>
      <c r="P177" s="719"/>
      <c r="Q177" s="719"/>
      <c r="R177" s="719"/>
      <c r="S177" s="720"/>
      <c r="U177" s="93">
        <v>60</v>
      </c>
      <c r="V177" s="694" t="s">
        <v>724</v>
      </c>
      <c r="X177" s="93">
        <v>30</v>
      </c>
      <c r="Y177" s="694" t="s">
        <v>724</v>
      </c>
    </row>
    <row r="178" spans="3:25" ht="28">
      <c r="D178" s="721"/>
      <c r="E178" s="722"/>
      <c r="F178" s="722"/>
      <c r="G178" s="722"/>
      <c r="H178" s="722"/>
      <c r="I178" s="723"/>
      <c r="N178" s="721"/>
      <c r="O178" s="722"/>
      <c r="P178" s="722"/>
      <c r="Q178" s="722"/>
      <c r="R178" s="722"/>
      <c r="S178" s="723"/>
      <c r="U178" s="93">
        <v>30</v>
      </c>
      <c r="V178" s="694" t="s">
        <v>726</v>
      </c>
      <c r="X178" s="93">
        <v>60</v>
      </c>
      <c r="Y178" s="694" t="s">
        <v>726</v>
      </c>
    </row>
    <row r="179" spans="3:25" ht="28">
      <c r="D179" s="721"/>
      <c r="E179" s="722"/>
      <c r="F179" s="722"/>
      <c r="G179" s="722"/>
      <c r="H179" s="722"/>
      <c r="I179" s="723"/>
      <c r="N179" s="721"/>
      <c r="O179" s="722"/>
      <c r="P179" s="722"/>
      <c r="Q179" s="722"/>
      <c r="R179" s="722"/>
      <c r="S179" s="723"/>
      <c r="V179" s="694" t="s">
        <v>725</v>
      </c>
      <c r="Y179" s="694" t="s">
        <v>725</v>
      </c>
    </row>
    <row r="180" spans="3:25">
      <c r="D180" s="721"/>
      <c r="E180" s="722"/>
      <c r="F180" s="722"/>
      <c r="G180" s="722"/>
      <c r="H180" s="722"/>
      <c r="I180" s="723"/>
      <c r="N180" s="721"/>
      <c r="O180" s="722"/>
      <c r="P180" s="722"/>
      <c r="Q180" s="722"/>
      <c r="R180" s="722"/>
      <c r="S180" s="723"/>
    </row>
    <row r="181" spans="3:25">
      <c r="D181" s="721"/>
      <c r="E181" s="722"/>
      <c r="F181" s="722"/>
      <c r="G181" s="722"/>
      <c r="H181" s="722"/>
      <c r="I181" s="723"/>
      <c r="N181" s="721"/>
      <c r="O181" s="722"/>
      <c r="P181" s="722"/>
      <c r="Q181" s="722"/>
      <c r="R181" s="722"/>
      <c r="S181" s="723"/>
    </row>
    <row r="182" spans="3:25">
      <c r="D182" s="721"/>
      <c r="E182" s="722"/>
      <c r="F182" s="722"/>
      <c r="G182" s="722"/>
      <c r="H182" s="722"/>
      <c r="I182" s="723"/>
      <c r="N182" s="721"/>
      <c r="O182" s="722"/>
      <c r="P182" s="722"/>
      <c r="Q182" s="722"/>
      <c r="R182" s="722"/>
      <c r="S182" s="723"/>
    </row>
    <row r="183" spans="3:25">
      <c r="D183" s="721"/>
      <c r="E183" s="722"/>
      <c r="F183" s="722"/>
      <c r="G183" s="722"/>
      <c r="H183" s="722"/>
      <c r="I183" s="723"/>
      <c r="N183" s="721"/>
      <c r="O183" s="722"/>
      <c r="P183" s="722"/>
      <c r="Q183" s="722"/>
      <c r="R183" s="722"/>
      <c r="S183" s="723"/>
    </row>
    <row r="184" spans="3:25">
      <c r="D184" s="721"/>
      <c r="E184" s="722"/>
      <c r="F184" s="722"/>
      <c r="G184" s="722"/>
      <c r="H184" s="722"/>
      <c r="I184" s="723"/>
      <c r="N184" s="721"/>
      <c r="O184" s="722"/>
      <c r="P184" s="722"/>
      <c r="Q184" s="722"/>
      <c r="R184" s="722"/>
      <c r="S184" s="723"/>
    </row>
    <row r="185" spans="3:25">
      <c r="D185" s="724"/>
      <c r="E185" s="725"/>
      <c r="F185" s="725"/>
      <c r="G185" s="725"/>
      <c r="H185" s="725"/>
      <c r="I185" s="726"/>
      <c r="N185" s="724"/>
      <c r="O185" s="725"/>
      <c r="P185" s="725"/>
      <c r="Q185" s="725"/>
      <c r="R185" s="725"/>
      <c r="S185" s="726"/>
    </row>
    <row r="186" spans="3:25">
      <c r="D186" s="727" t="s">
        <v>743</v>
      </c>
      <c r="E186" s="719"/>
      <c r="F186" s="719"/>
      <c r="G186" s="719"/>
      <c r="H186" s="719"/>
      <c r="I186" s="720"/>
      <c r="N186" s="727" t="s">
        <v>743</v>
      </c>
      <c r="O186" s="719"/>
      <c r="P186" s="719"/>
      <c r="Q186" s="719"/>
      <c r="R186" s="719"/>
      <c r="S186" s="720"/>
    </row>
    <row r="187" spans="3:25">
      <c r="D187" s="721"/>
      <c r="E187" s="722"/>
      <c r="F187" s="722"/>
      <c r="G187" s="722"/>
      <c r="H187" s="722"/>
      <c r="I187" s="723"/>
      <c r="N187" s="721"/>
      <c r="O187" s="722"/>
      <c r="P187" s="722"/>
      <c r="Q187" s="722"/>
      <c r="R187" s="722"/>
      <c r="S187" s="723"/>
    </row>
    <row r="188" spans="3:25">
      <c r="D188" s="721"/>
      <c r="E188" s="722"/>
      <c r="F188" s="722"/>
      <c r="G188" s="722"/>
      <c r="H188" s="722"/>
      <c r="I188" s="723"/>
      <c r="N188" s="721"/>
      <c r="O188" s="722"/>
      <c r="P188" s="722"/>
      <c r="Q188" s="722"/>
      <c r="R188" s="722"/>
      <c r="S188" s="723"/>
    </row>
    <row r="189" spans="3:25">
      <c r="D189" s="721"/>
      <c r="E189" s="722"/>
      <c r="F189" s="722"/>
      <c r="G189" s="722"/>
      <c r="H189" s="722"/>
      <c r="I189" s="723"/>
      <c r="N189" s="721"/>
      <c r="O189" s="722"/>
      <c r="P189" s="722"/>
      <c r="Q189" s="722"/>
      <c r="R189" s="722"/>
      <c r="S189" s="723"/>
    </row>
    <row r="190" spans="3:25">
      <c r="D190" s="721"/>
      <c r="E190" s="722"/>
      <c r="F190" s="722"/>
      <c r="G190" s="722"/>
      <c r="H190" s="722"/>
      <c r="I190" s="723"/>
      <c r="N190" s="721"/>
      <c r="O190" s="722"/>
      <c r="P190" s="722"/>
      <c r="Q190" s="722"/>
      <c r="R190" s="722"/>
      <c r="S190" s="723"/>
    </row>
    <row r="191" spans="3:25">
      <c r="D191" s="721"/>
      <c r="E191" s="722"/>
      <c r="F191" s="722"/>
      <c r="G191" s="722"/>
      <c r="H191" s="722"/>
      <c r="I191" s="723"/>
      <c r="N191" s="721"/>
      <c r="O191" s="722"/>
      <c r="P191" s="722"/>
      <c r="Q191" s="722"/>
      <c r="R191" s="722"/>
      <c r="S191" s="723"/>
    </row>
    <row r="192" spans="3:25">
      <c r="D192" s="721"/>
      <c r="E192" s="722"/>
      <c r="F192" s="722"/>
      <c r="G192" s="722"/>
      <c r="H192" s="722"/>
      <c r="I192" s="723"/>
      <c r="N192" s="721"/>
      <c r="O192" s="722"/>
      <c r="P192" s="722"/>
      <c r="Q192" s="722"/>
      <c r="R192" s="722"/>
      <c r="S192" s="723"/>
    </row>
    <row r="193" spans="1:25">
      <c r="D193" s="721"/>
      <c r="E193" s="722"/>
      <c r="F193" s="722"/>
      <c r="G193" s="722"/>
      <c r="H193" s="722"/>
      <c r="I193" s="723"/>
      <c r="N193" s="721"/>
      <c r="O193" s="722"/>
      <c r="P193" s="722"/>
      <c r="Q193" s="722"/>
      <c r="R193" s="722"/>
      <c r="S193" s="723"/>
    </row>
    <row r="194" spans="1:25">
      <c r="D194" s="721"/>
      <c r="E194" s="722"/>
      <c r="F194" s="722"/>
      <c r="G194" s="722"/>
      <c r="H194" s="722"/>
      <c r="I194" s="723"/>
      <c r="N194" s="721"/>
      <c r="O194" s="722"/>
      <c r="P194" s="722"/>
      <c r="Q194" s="722"/>
      <c r="R194" s="722"/>
      <c r="S194" s="723"/>
    </row>
    <row r="195" spans="1:25">
      <c r="D195" s="724"/>
      <c r="E195" s="725"/>
      <c r="F195" s="725"/>
      <c r="G195" s="725"/>
      <c r="H195" s="725"/>
      <c r="I195" s="726"/>
      <c r="N195" s="724"/>
      <c r="O195" s="725"/>
      <c r="P195" s="725"/>
      <c r="Q195" s="725"/>
      <c r="R195" s="725"/>
      <c r="S195" s="726"/>
    </row>
    <row r="197" spans="1:25" ht="13" thickBot="1"/>
    <row r="198" spans="1:25" ht="18">
      <c r="A198" s="687" t="s">
        <v>614</v>
      </c>
      <c r="B198" s="687" t="s">
        <v>730</v>
      </c>
      <c r="C198" s="688" t="s">
        <v>616</v>
      </c>
      <c r="D198" s="689" t="s">
        <v>617</v>
      </c>
      <c r="E198" s="703" t="e">
        <v>#REF!</v>
      </c>
      <c r="F198" s="703" t="e">
        <v>#REF!</v>
      </c>
      <c r="G198" s="703" t="e">
        <v>#REF!</v>
      </c>
      <c r="H198" s="686" t="s">
        <v>721</v>
      </c>
      <c r="I198" s="701" t="s">
        <v>666</v>
      </c>
      <c r="K198" s="687" t="s">
        <v>614</v>
      </c>
      <c r="L198" s="687" t="s">
        <v>730</v>
      </c>
      <c r="M198" s="688" t="s">
        <v>616</v>
      </c>
      <c r="N198" s="689" t="s">
        <v>617</v>
      </c>
      <c r="O198" s="703" t="e">
        <v>#REF!</v>
      </c>
      <c r="P198" s="703" t="e">
        <v>#REF!</v>
      </c>
      <c r="Q198" s="703" t="e">
        <v>#REF!</v>
      </c>
      <c r="R198" s="686" t="s">
        <v>721</v>
      </c>
      <c r="S198" s="701" t="s">
        <v>666</v>
      </c>
    </row>
    <row r="199" spans="1:25" ht="39">
      <c r="A199" s="697" t="str">
        <f>+A38</f>
        <v>LIQUIDITA'</v>
      </c>
      <c r="B199" s="697" t="str">
        <f t="shared" ref="B199:D199" si="12">+B38</f>
        <v>CASH CONVERSION CYCLE</v>
      </c>
      <c r="C199" s="697" t="str">
        <f t="shared" si="12"/>
        <v>GG CL+GG MAGAZZINO-GG FORNITORI</v>
      </c>
      <c r="D199" s="697" t="str">
        <f t="shared" si="12"/>
        <v>GG CL+GG MAG-GGFOR</v>
      </c>
      <c r="E199" s="707" cm="1">
        <f t="array" aca="1" ref="E199:G199" ca="1">+OFFSET(INDIRECT(MID(_xlfn.FORMULATEXT(D199),3,3)),$N$6,$O$6,$N$7,$O$7)</f>
        <v>81.901332083889798</v>
      </c>
      <c r="F199" s="696">
        <f ca="1"/>
        <v>67.750726569294642</v>
      </c>
      <c r="G199" s="696">
        <f ca="1"/>
        <v>82.755468775898819</v>
      </c>
      <c r="H199" s="708">
        <v>30</v>
      </c>
      <c r="I199" s="702" t="str">
        <f ca="1">+IF(AVERAGE(E199:G199)&lt;=U200,V200,IF(AVERAGE(E199:G199)&lt;=U201,V201,V202))</f>
        <v>🥲</v>
      </c>
      <c r="K199" s="697" t="str">
        <f>+A48</f>
        <v>CRESCITA</v>
      </c>
      <c r="L199" s="697" t="str">
        <f t="shared" ref="L199:N199" si="13">+B48</f>
        <v>VARIAZIONE FATTURATO</v>
      </c>
      <c r="M199" s="697" t="str">
        <f t="shared" si="13"/>
        <v>D FATTURATO/FATTURATO INIZIALE</v>
      </c>
      <c r="N199" s="697" t="str">
        <f t="shared" si="13"/>
        <v>D FATTURATO</v>
      </c>
      <c r="O199" s="692" cm="1">
        <f t="array" aca="1" ref="O199:Q199" ca="1">+OFFSET(INDIRECT(MID(_xlfn.FORMULATEXT(N199),3,3)),$N$6,$O$6,$N$7,$O$7)</f>
        <v>0</v>
      </c>
      <c r="P199" s="713">
        <f ca="1"/>
        <v>6.6543729493668602E-2</v>
      </c>
      <c r="Q199" s="713">
        <f ca="1"/>
        <v>7.0715567529163748E-2</v>
      </c>
      <c r="R199" s="693">
        <v>0.03</v>
      </c>
      <c r="S199" s="702" t="str">
        <f ca="1">+IF(AVERAGE(O199:Q199)&gt;=X200,Y200,IF(AVERAGE(O199:Q199)&gt;=X201,Y201,Y202))</f>
        <v xml:space="preserve">😄 </v>
      </c>
    </row>
    <row r="200" spans="1:25" ht="28">
      <c r="C200" s="1"/>
      <c r="D200" s="727" t="s">
        <v>742</v>
      </c>
      <c r="E200" s="719"/>
      <c r="F200" s="719"/>
      <c r="G200" s="719"/>
      <c r="H200" s="719"/>
      <c r="I200" s="720"/>
      <c r="M200" s="1"/>
      <c r="N200" s="727" t="s">
        <v>742</v>
      </c>
      <c r="O200" s="719"/>
      <c r="P200" s="719"/>
      <c r="Q200" s="719"/>
      <c r="R200" s="719"/>
      <c r="S200" s="720"/>
      <c r="U200" s="93">
        <v>30</v>
      </c>
      <c r="V200" s="694" t="s">
        <v>724</v>
      </c>
      <c r="X200" s="11">
        <v>0.02</v>
      </c>
      <c r="Y200" s="694" t="s">
        <v>724</v>
      </c>
    </row>
    <row r="201" spans="1:25" ht="28">
      <c r="D201" s="721"/>
      <c r="E201" s="722"/>
      <c r="F201" s="722"/>
      <c r="G201" s="722"/>
      <c r="H201" s="722"/>
      <c r="I201" s="723"/>
      <c r="N201" s="721"/>
      <c r="O201" s="722"/>
      <c r="P201" s="722"/>
      <c r="Q201" s="722"/>
      <c r="R201" s="722"/>
      <c r="S201" s="723"/>
      <c r="U201" s="93">
        <v>60</v>
      </c>
      <c r="V201" s="694" t="s">
        <v>726</v>
      </c>
      <c r="X201" s="11">
        <v>0.01</v>
      </c>
      <c r="Y201" s="694" t="s">
        <v>726</v>
      </c>
    </row>
    <row r="202" spans="1:25" ht="28">
      <c r="D202" s="721"/>
      <c r="E202" s="722"/>
      <c r="F202" s="722"/>
      <c r="G202" s="722"/>
      <c r="H202" s="722"/>
      <c r="I202" s="723"/>
      <c r="N202" s="721"/>
      <c r="O202" s="722"/>
      <c r="P202" s="722"/>
      <c r="Q202" s="722"/>
      <c r="R202" s="722"/>
      <c r="S202" s="723"/>
      <c r="V202" s="694" t="s">
        <v>725</v>
      </c>
      <c r="Y202" s="694" t="s">
        <v>725</v>
      </c>
    </row>
    <row r="203" spans="1:25">
      <c r="D203" s="721"/>
      <c r="E203" s="722"/>
      <c r="F203" s="722"/>
      <c r="G203" s="722"/>
      <c r="H203" s="722"/>
      <c r="I203" s="723"/>
      <c r="N203" s="721"/>
      <c r="O203" s="722"/>
      <c r="P203" s="722"/>
      <c r="Q203" s="722"/>
      <c r="R203" s="722"/>
      <c r="S203" s="723"/>
    </row>
    <row r="204" spans="1:25">
      <c r="D204" s="721"/>
      <c r="E204" s="722"/>
      <c r="F204" s="722"/>
      <c r="G204" s="722"/>
      <c r="H204" s="722"/>
      <c r="I204" s="723"/>
      <c r="N204" s="721"/>
      <c r="O204" s="722"/>
      <c r="P204" s="722"/>
      <c r="Q204" s="722"/>
      <c r="R204" s="722"/>
      <c r="S204" s="723"/>
    </row>
    <row r="205" spans="1:25">
      <c r="D205" s="721"/>
      <c r="E205" s="722"/>
      <c r="F205" s="722"/>
      <c r="G205" s="722"/>
      <c r="H205" s="722"/>
      <c r="I205" s="723"/>
      <c r="N205" s="721"/>
      <c r="O205" s="722"/>
      <c r="P205" s="722"/>
      <c r="Q205" s="722"/>
      <c r="R205" s="722"/>
      <c r="S205" s="723"/>
    </row>
    <row r="206" spans="1:25">
      <c r="D206" s="721"/>
      <c r="E206" s="722"/>
      <c r="F206" s="722"/>
      <c r="G206" s="722"/>
      <c r="H206" s="722"/>
      <c r="I206" s="723"/>
      <c r="N206" s="721"/>
      <c r="O206" s="722"/>
      <c r="P206" s="722"/>
      <c r="Q206" s="722"/>
      <c r="R206" s="722"/>
      <c r="S206" s="723"/>
    </row>
    <row r="207" spans="1:25">
      <c r="D207" s="721"/>
      <c r="E207" s="722"/>
      <c r="F207" s="722"/>
      <c r="G207" s="722"/>
      <c r="H207" s="722"/>
      <c r="I207" s="723"/>
      <c r="N207" s="721"/>
      <c r="O207" s="722"/>
      <c r="P207" s="722"/>
      <c r="Q207" s="722"/>
      <c r="R207" s="722"/>
      <c r="S207" s="723"/>
    </row>
    <row r="208" spans="1:25">
      <c r="D208" s="724"/>
      <c r="E208" s="725"/>
      <c r="F208" s="725"/>
      <c r="G208" s="725"/>
      <c r="H208" s="725"/>
      <c r="I208" s="726"/>
      <c r="N208" s="724"/>
      <c r="O208" s="725"/>
      <c r="P208" s="725"/>
      <c r="Q208" s="725"/>
      <c r="R208" s="725"/>
      <c r="S208" s="726"/>
    </row>
    <row r="209" spans="1:25">
      <c r="D209" s="718" t="s">
        <v>723</v>
      </c>
      <c r="E209" s="719"/>
      <c r="F209" s="719"/>
      <c r="G209" s="719"/>
      <c r="H209" s="719"/>
      <c r="I209" s="720"/>
      <c r="N209" s="727" t="s">
        <v>743</v>
      </c>
      <c r="O209" s="719"/>
      <c r="P209" s="719"/>
      <c r="Q209" s="719"/>
      <c r="R209" s="719"/>
      <c r="S209" s="720"/>
    </row>
    <row r="210" spans="1:25">
      <c r="D210" s="721"/>
      <c r="E210" s="722"/>
      <c r="F210" s="722"/>
      <c r="G210" s="722"/>
      <c r="H210" s="722"/>
      <c r="I210" s="723"/>
      <c r="N210" s="721"/>
      <c r="O210" s="722"/>
      <c r="P210" s="722"/>
      <c r="Q210" s="722"/>
      <c r="R210" s="722"/>
      <c r="S210" s="723"/>
    </row>
    <row r="211" spans="1:25">
      <c r="D211" s="721"/>
      <c r="E211" s="722"/>
      <c r="F211" s="722"/>
      <c r="G211" s="722"/>
      <c r="H211" s="722"/>
      <c r="I211" s="723"/>
      <c r="N211" s="721"/>
      <c r="O211" s="722"/>
      <c r="P211" s="722"/>
      <c r="Q211" s="722"/>
      <c r="R211" s="722"/>
      <c r="S211" s="723"/>
    </row>
    <row r="212" spans="1:25">
      <c r="D212" s="721"/>
      <c r="E212" s="722"/>
      <c r="F212" s="722"/>
      <c r="G212" s="722"/>
      <c r="H212" s="722"/>
      <c r="I212" s="723"/>
      <c r="N212" s="721"/>
      <c r="O212" s="722"/>
      <c r="P212" s="722"/>
      <c r="Q212" s="722"/>
      <c r="R212" s="722"/>
      <c r="S212" s="723"/>
    </row>
    <row r="213" spans="1:25">
      <c r="D213" s="721"/>
      <c r="E213" s="722"/>
      <c r="F213" s="722"/>
      <c r="G213" s="722"/>
      <c r="H213" s="722"/>
      <c r="I213" s="723"/>
      <c r="N213" s="721"/>
      <c r="O213" s="722"/>
      <c r="P213" s="722"/>
      <c r="Q213" s="722"/>
      <c r="R213" s="722"/>
      <c r="S213" s="723"/>
    </row>
    <row r="214" spans="1:25">
      <c r="D214" s="721"/>
      <c r="E214" s="722"/>
      <c r="F214" s="722"/>
      <c r="G214" s="722"/>
      <c r="H214" s="722"/>
      <c r="I214" s="723"/>
      <c r="N214" s="721"/>
      <c r="O214" s="722"/>
      <c r="P214" s="722"/>
      <c r="Q214" s="722"/>
      <c r="R214" s="722"/>
      <c r="S214" s="723"/>
    </row>
    <row r="215" spans="1:25">
      <c r="D215" s="721"/>
      <c r="E215" s="722"/>
      <c r="F215" s="722"/>
      <c r="G215" s="722"/>
      <c r="H215" s="722"/>
      <c r="I215" s="723"/>
      <c r="N215" s="721"/>
      <c r="O215" s="722"/>
      <c r="P215" s="722"/>
      <c r="Q215" s="722"/>
      <c r="R215" s="722"/>
      <c r="S215" s="723"/>
    </row>
    <row r="216" spans="1:25">
      <c r="D216" s="721"/>
      <c r="E216" s="722"/>
      <c r="F216" s="722"/>
      <c r="G216" s="722"/>
      <c r="H216" s="722"/>
      <c r="I216" s="723"/>
      <c r="N216" s="721"/>
      <c r="O216" s="722"/>
      <c r="P216" s="722"/>
      <c r="Q216" s="722"/>
      <c r="R216" s="722"/>
      <c r="S216" s="723"/>
    </row>
    <row r="217" spans="1:25">
      <c r="D217" s="721"/>
      <c r="E217" s="722"/>
      <c r="F217" s="722"/>
      <c r="G217" s="722"/>
      <c r="H217" s="722"/>
      <c r="I217" s="723"/>
      <c r="N217" s="721"/>
      <c r="O217" s="722"/>
      <c r="P217" s="722"/>
      <c r="Q217" s="722"/>
      <c r="R217" s="722"/>
      <c r="S217" s="723"/>
    </row>
    <row r="218" spans="1:25">
      <c r="D218" s="724"/>
      <c r="E218" s="725"/>
      <c r="F218" s="725"/>
      <c r="G218" s="725"/>
      <c r="H218" s="725"/>
      <c r="I218" s="726"/>
      <c r="N218" s="724"/>
      <c r="O218" s="725"/>
      <c r="P218" s="725"/>
      <c r="Q218" s="725"/>
      <c r="R218" s="725"/>
      <c r="S218" s="726"/>
    </row>
    <row r="220" spans="1:25" ht="13" thickBot="1"/>
    <row r="221" spans="1:25" ht="18">
      <c r="A221" s="687" t="s">
        <v>614</v>
      </c>
      <c r="B221" s="687" t="s">
        <v>730</v>
      </c>
      <c r="C221" s="688" t="s">
        <v>616</v>
      </c>
      <c r="D221" s="689" t="s">
        <v>617</v>
      </c>
      <c r="E221" s="703" t="e">
        <v>#REF!</v>
      </c>
      <c r="F221" s="703" t="e">
        <v>#REF!</v>
      </c>
      <c r="G221" s="703" t="e">
        <v>#REF!</v>
      </c>
      <c r="H221" s="686" t="s">
        <v>721</v>
      </c>
      <c r="I221" s="701" t="s">
        <v>666</v>
      </c>
      <c r="K221" s="687" t="s">
        <v>614</v>
      </c>
      <c r="L221" s="687" t="s">
        <v>730</v>
      </c>
      <c r="M221" s="688" t="s">
        <v>616</v>
      </c>
      <c r="N221" s="689" t="s">
        <v>617</v>
      </c>
      <c r="O221" s="703" t="e">
        <v>#REF!</v>
      </c>
      <c r="P221" s="703" t="e">
        <v>#REF!</v>
      </c>
      <c r="Q221" s="703" t="e">
        <v>#REF!</v>
      </c>
      <c r="R221" s="686" t="s">
        <v>721</v>
      </c>
      <c r="S221" s="701" t="s">
        <v>666</v>
      </c>
    </row>
    <row r="222" spans="1:25" ht="26">
      <c r="A222" s="697" t="str">
        <f>+A52</f>
        <v>ALTRI INDICATORI</v>
      </c>
      <c r="B222" s="697" t="str">
        <f t="shared" ref="B222:D222" si="14">+B52</f>
        <v>DEBITI</v>
      </c>
      <c r="C222" s="697">
        <f t="shared" si="14"/>
        <v>0</v>
      </c>
      <c r="D222" s="697" t="str">
        <f t="shared" si="14"/>
        <v>MT</v>
      </c>
      <c r="E222" s="707" cm="1">
        <f t="array" aca="1" ref="E222:G222" ca="1">+OFFSET(INDIRECT(MID(_xlfn.FORMULATEXT(D222),3,3)),$N$6,$O$6,$N$7,$O$7)</f>
        <v>3447110</v>
      </c>
      <c r="F222" s="696">
        <f ca="1"/>
        <v>3579584</v>
      </c>
      <c r="G222" s="696">
        <f ca="1"/>
        <v>3542602</v>
      </c>
      <c r="H222" s="708">
        <v>1500000</v>
      </c>
      <c r="I222" s="702" t="str">
        <f ca="1">+IF(AVERAGE(E222:G222)&lt;=U223,V223,IF(AVERAGE(E222:G222)&lt;=U224,V224,V225))</f>
        <v>🥲</v>
      </c>
      <c r="K222" s="697" t="str">
        <f>+A53</f>
        <v>ALTRI INDICATORI</v>
      </c>
      <c r="L222" s="697" t="str">
        <f t="shared" ref="L222:N222" si="15">+B53</f>
        <v>MEZZI PROPRI</v>
      </c>
      <c r="M222" s="697">
        <f t="shared" si="15"/>
        <v>0</v>
      </c>
      <c r="N222" s="697" t="str">
        <f t="shared" si="15"/>
        <v>MP</v>
      </c>
      <c r="O222" s="707" cm="1">
        <f t="array" aca="1" ref="O222:Q222" ca="1">+OFFSET(INDIRECT(MID(_xlfn.FORMULATEXT(N222),3,3)),$N$6,$O$6,$N$7,$O$7)</f>
        <v>2584539</v>
      </c>
      <c r="P222" s="696">
        <f ca="1"/>
        <v>2589586</v>
      </c>
      <c r="Q222" s="696">
        <f ca="1"/>
        <v>2610125</v>
      </c>
      <c r="R222" s="708">
        <v>1500000</v>
      </c>
      <c r="S222" s="702" t="str">
        <f ca="1">+IF(AVERAGE(O222:Q222)&gt;=X223,Y223,IF(AVERAGE(O222:Q222)&gt;=X224,Y224,Y225))</f>
        <v xml:space="preserve">😄 </v>
      </c>
    </row>
    <row r="223" spans="1:25" ht="28">
      <c r="C223" s="1"/>
      <c r="D223" s="727" t="s">
        <v>742</v>
      </c>
      <c r="E223" s="719"/>
      <c r="F223" s="719"/>
      <c r="G223" s="719"/>
      <c r="H223" s="719"/>
      <c r="I223" s="720"/>
      <c r="M223" s="1"/>
      <c r="N223" s="727" t="s">
        <v>742</v>
      </c>
      <c r="O223" s="719"/>
      <c r="P223" s="719"/>
      <c r="Q223" s="719"/>
      <c r="R223" s="719"/>
      <c r="S223" s="720"/>
      <c r="U223" s="93">
        <v>1500000</v>
      </c>
      <c r="V223" s="694" t="s">
        <v>724</v>
      </c>
      <c r="X223" s="93">
        <v>1400000</v>
      </c>
      <c r="Y223" s="694" t="s">
        <v>724</v>
      </c>
    </row>
    <row r="224" spans="1:25" ht="28">
      <c r="D224" s="721"/>
      <c r="E224" s="722"/>
      <c r="F224" s="722"/>
      <c r="G224" s="722"/>
      <c r="H224" s="722"/>
      <c r="I224" s="723"/>
      <c r="N224" s="721"/>
      <c r="O224" s="722"/>
      <c r="P224" s="722"/>
      <c r="Q224" s="722"/>
      <c r="R224" s="722"/>
      <c r="S224" s="723"/>
      <c r="U224" s="93">
        <v>1200000</v>
      </c>
      <c r="V224" s="694" t="s">
        <v>726</v>
      </c>
      <c r="X224" s="93">
        <v>1000000</v>
      </c>
      <c r="Y224" s="694" t="s">
        <v>726</v>
      </c>
    </row>
    <row r="225" spans="4:25" ht="28">
      <c r="D225" s="721"/>
      <c r="E225" s="722"/>
      <c r="F225" s="722"/>
      <c r="G225" s="722"/>
      <c r="H225" s="722"/>
      <c r="I225" s="723"/>
      <c r="N225" s="721"/>
      <c r="O225" s="722"/>
      <c r="P225" s="722"/>
      <c r="Q225" s="722"/>
      <c r="R225" s="722"/>
      <c r="S225" s="723"/>
      <c r="V225" s="694" t="s">
        <v>725</v>
      </c>
      <c r="Y225" s="694" t="s">
        <v>725</v>
      </c>
    </row>
    <row r="226" spans="4:25">
      <c r="D226" s="721"/>
      <c r="E226" s="722"/>
      <c r="F226" s="722"/>
      <c r="G226" s="722"/>
      <c r="H226" s="722"/>
      <c r="I226" s="723"/>
      <c r="N226" s="721"/>
      <c r="O226" s="722"/>
      <c r="P226" s="722"/>
      <c r="Q226" s="722"/>
      <c r="R226" s="722"/>
      <c r="S226" s="723"/>
    </row>
    <row r="227" spans="4:25">
      <c r="D227" s="721"/>
      <c r="E227" s="722"/>
      <c r="F227" s="722"/>
      <c r="G227" s="722"/>
      <c r="H227" s="722"/>
      <c r="I227" s="723"/>
      <c r="N227" s="721"/>
      <c r="O227" s="722"/>
      <c r="P227" s="722"/>
      <c r="Q227" s="722"/>
      <c r="R227" s="722"/>
      <c r="S227" s="723"/>
    </row>
    <row r="228" spans="4:25">
      <c r="D228" s="721"/>
      <c r="E228" s="722"/>
      <c r="F228" s="722"/>
      <c r="G228" s="722"/>
      <c r="H228" s="722"/>
      <c r="I228" s="723"/>
      <c r="N228" s="721"/>
      <c r="O228" s="722"/>
      <c r="P228" s="722"/>
      <c r="Q228" s="722"/>
      <c r="R228" s="722"/>
      <c r="S228" s="723"/>
    </row>
    <row r="229" spans="4:25">
      <c r="D229" s="721"/>
      <c r="E229" s="722"/>
      <c r="F229" s="722"/>
      <c r="G229" s="722"/>
      <c r="H229" s="722"/>
      <c r="I229" s="723"/>
      <c r="N229" s="721"/>
      <c r="O229" s="722"/>
      <c r="P229" s="722"/>
      <c r="Q229" s="722"/>
      <c r="R229" s="722"/>
      <c r="S229" s="723"/>
    </row>
    <row r="230" spans="4:25">
      <c r="D230" s="721"/>
      <c r="E230" s="722"/>
      <c r="F230" s="722"/>
      <c r="G230" s="722"/>
      <c r="H230" s="722"/>
      <c r="I230" s="723"/>
      <c r="N230" s="721"/>
      <c r="O230" s="722"/>
      <c r="P230" s="722"/>
      <c r="Q230" s="722"/>
      <c r="R230" s="722"/>
      <c r="S230" s="723"/>
    </row>
    <row r="231" spans="4:25">
      <c r="D231" s="724"/>
      <c r="E231" s="725"/>
      <c r="F231" s="725"/>
      <c r="G231" s="725"/>
      <c r="H231" s="725"/>
      <c r="I231" s="726"/>
      <c r="N231" s="724"/>
      <c r="O231" s="725"/>
      <c r="P231" s="725"/>
      <c r="Q231" s="725"/>
      <c r="R231" s="725"/>
      <c r="S231" s="726"/>
    </row>
    <row r="232" spans="4:25">
      <c r="D232" s="718" t="s">
        <v>723</v>
      </c>
      <c r="E232" s="719"/>
      <c r="F232" s="719"/>
      <c r="G232" s="719"/>
      <c r="H232" s="719"/>
      <c r="I232" s="720"/>
      <c r="N232" s="727" t="s">
        <v>743</v>
      </c>
      <c r="O232" s="719"/>
      <c r="P232" s="719"/>
      <c r="Q232" s="719"/>
      <c r="R232" s="719"/>
      <c r="S232" s="720"/>
    </row>
    <row r="233" spans="4:25">
      <c r="D233" s="721"/>
      <c r="E233" s="722"/>
      <c r="F233" s="722"/>
      <c r="G233" s="722"/>
      <c r="H233" s="722"/>
      <c r="I233" s="723"/>
      <c r="N233" s="721"/>
      <c r="O233" s="722"/>
      <c r="P233" s="722"/>
      <c r="Q233" s="722"/>
      <c r="R233" s="722"/>
      <c r="S233" s="723"/>
    </row>
    <row r="234" spans="4:25">
      <c r="D234" s="721"/>
      <c r="E234" s="722"/>
      <c r="F234" s="722"/>
      <c r="G234" s="722"/>
      <c r="H234" s="722"/>
      <c r="I234" s="723"/>
      <c r="N234" s="721"/>
      <c r="O234" s="722"/>
      <c r="P234" s="722"/>
      <c r="Q234" s="722"/>
      <c r="R234" s="722"/>
      <c r="S234" s="723"/>
    </row>
    <row r="235" spans="4:25">
      <c r="D235" s="721"/>
      <c r="E235" s="722"/>
      <c r="F235" s="722"/>
      <c r="G235" s="722"/>
      <c r="H235" s="722"/>
      <c r="I235" s="723"/>
      <c r="N235" s="721"/>
      <c r="O235" s="722"/>
      <c r="P235" s="722"/>
      <c r="Q235" s="722"/>
      <c r="R235" s="722"/>
      <c r="S235" s="723"/>
    </row>
    <row r="236" spans="4:25">
      <c r="D236" s="721"/>
      <c r="E236" s="722"/>
      <c r="F236" s="722"/>
      <c r="G236" s="722"/>
      <c r="H236" s="722"/>
      <c r="I236" s="723"/>
      <c r="N236" s="721"/>
      <c r="O236" s="722"/>
      <c r="P236" s="722"/>
      <c r="Q236" s="722"/>
      <c r="R236" s="722"/>
      <c r="S236" s="723"/>
    </row>
    <row r="237" spans="4:25">
      <c r="D237" s="721"/>
      <c r="E237" s="722"/>
      <c r="F237" s="722"/>
      <c r="G237" s="722"/>
      <c r="H237" s="722"/>
      <c r="I237" s="723"/>
      <c r="N237" s="721"/>
      <c r="O237" s="722"/>
      <c r="P237" s="722"/>
      <c r="Q237" s="722"/>
      <c r="R237" s="722"/>
      <c r="S237" s="723"/>
    </row>
    <row r="238" spans="4:25">
      <c r="D238" s="721"/>
      <c r="E238" s="722"/>
      <c r="F238" s="722"/>
      <c r="G238" s="722"/>
      <c r="H238" s="722"/>
      <c r="I238" s="723"/>
      <c r="N238" s="721"/>
      <c r="O238" s="722"/>
      <c r="P238" s="722"/>
      <c r="Q238" s="722"/>
      <c r="R238" s="722"/>
      <c r="S238" s="723"/>
    </row>
    <row r="239" spans="4:25">
      <c r="D239" s="721"/>
      <c r="E239" s="722"/>
      <c r="F239" s="722"/>
      <c r="G239" s="722"/>
      <c r="H239" s="722"/>
      <c r="I239" s="723"/>
      <c r="N239" s="721"/>
      <c r="O239" s="722"/>
      <c r="P239" s="722"/>
      <c r="Q239" s="722"/>
      <c r="R239" s="722"/>
      <c r="S239" s="723"/>
    </row>
    <row r="240" spans="4:25">
      <c r="D240" s="721"/>
      <c r="E240" s="722"/>
      <c r="F240" s="722"/>
      <c r="G240" s="722"/>
      <c r="H240" s="722"/>
      <c r="I240" s="723"/>
      <c r="N240" s="721"/>
      <c r="O240" s="722"/>
      <c r="P240" s="722"/>
      <c r="Q240" s="722"/>
      <c r="R240" s="722"/>
      <c r="S240" s="723"/>
    </row>
    <row r="241" spans="4:19">
      <c r="D241" s="724"/>
      <c r="E241" s="725"/>
      <c r="F241" s="725"/>
      <c r="G241" s="725"/>
      <c r="H241" s="725"/>
      <c r="I241" s="726"/>
      <c r="N241" s="724"/>
      <c r="O241" s="725"/>
      <c r="P241" s="725"/>
      <c r="Q241" s="725"/>
      <c r="R241" s="725"/>
      <c r="S241" s="726"/>
    </row>
  </sheetData>
  <mergeCells count="32">
    <mergeCell ref="D62:I70"/>
    <mergeCell ref="N62:S70"/>
    <mergeCell ref="D71:I80"/>
    <mergeCell ref="N71:S80"/>
    <mergeCell ref="D86:I94"/>
    <mergeCell ref="N86:S94"/>
    <mergeCell ref="D95:I104"/>
    <mergeCell ref="N95:S104"/>
    <mergeCell ref="D108:I116"/>
    <mergeCell ref="N108:S116"/>
    <mergeCell ref="D117:I126"/>
    <mergeCell ref="N117:S126"/>
    <mergeCell ref="D130:I138"/>
    <mergeCell ref="N130:S138"/>
    <mergeCell ref="D139:I148"/>
    <mergeCell ref="N139:S148"/>
    <mergeCell ref="D152:I160"/>
    <mergeCell ref="N152:S160"/>
    <mergeCell ref="D161:I170"/>
    <mergeCell ref="N161:S170"/>
    <mergeCell ref="D177:I185"/>
    <mergeCell ref="N177:S185"/>
    <mergeCell ref="D186:I195"/>
    <mergeCell ref="N186:S195"/>
    <mergeCell ref="D232:I241"/>
    <mergeCell ref="N232:S241"/>
    <mergeCell ref="D200:I208"/>
    <mergeCell ref="N200:S208"/>
    <mergeCell ref="D209:I218"/>
    <mergeCell ref="N209:S218"/>
    <mergeCell ref="D223:I231"/>
    <mergeCell ref="N223:S231"/>
  </mergeCells>
  <phoneticPr fontId="99" type="noConversion"/>
  <hyperlinks>
    <hyperlink ref="B3" location="'conto economico va'!C4" display="CONTO ECONOMICO A VALORE AGGIUNTO" xr:uid="{E0424C67-5FD6-F044-A8C8-71B522AA810C}"/>
    <hyperlink ref="B4" location="'conto economico margine '!C4" display="CONTO ECONOMICO A MARGINE DI CONTRIBUZIONE" xr:uid="{21456880-8D4C-BC43-B153-199FB7BFBF1F}"/>
    <hyperlink ref="B6" location="'break even'!C4" display="BREAK EVEN" xr:uid="{1763265C-5FB0-B944-AAB5-0F5FCD2B0343}"/>
    <hyperlink ref="B8" location="'stato patrimoniale'!C4" display="STATO PATRIMONIALE" xr:uid="{1697C844-BC9D-1645-BB9A-BFA06DA46766}"/>
    <hyperlink ref="B9" location="'rendiconto finanziario'!A1" display="RENDICONTO FINANZIARIO" xr:uid="{80E69539-DFEC-8C43-A573-0E52C121576A}"/>
    <hyperlink ref="B7" location="Pareto!A1" display="PARETO" xr:uid="{5A3A59C1-9CF6-7646-BF78-B0BCB381E793}"/>
    <hyperlink ref="B2" location="'bilancio cee'!A1" display="BILANCIO CEE" xr:uid="{6B5FECCC-72EE-B743-9864-765245A908D5}"/>
    <hyperlink ref="B5" location="'Conto economico RI'!A1" display="CONTO ECONOMICO RI" xr:uid="{79795475-6D80-DC49-B0BB-138C170D3F11}"/>
    <hyperlink ref="E3" location="'rendiconto OIC'!A1" display="RENDICONTO OIC" xr:uid="{7F734F65-CBC5-8641-ACED-E0AE53C11D75}"/>
    <hyperlink ref="E4" location="'flussi di ccn'!A1" display="FLUSSI CCN" xr:uid="{D664F795-27DD-084A-8B9B-390EF8B1E0A1}"/>
    <hyperlink ref="E6" location="'albero redditività'!A1" display="ALBERO REDDITITIVITA'" xr:uid="{2BBA0E2F-54E5-3E44-8034-4CF9A3B156D2}"/>
    <hyperlink ref="E7" location="indici!A1" display="INDICI" xr:uid="{0F7ED492-BC41-6E4B-AC95-A2281D709CB5}"/>
    <hyperlink ref="E8" location="'indicatori crisi'!A1" display="INDICI DI CRISI" xr:uid="{DAFE453B-1C77-3B46-AF2C-1EBB7EAC1D38}"/>
    <hyperlink ref="E9" location="valutazione!A1" display="VALUTAZIONE" xr:uid="{8D02AFD6-CC5F-8247-9816-BD9C0F6B3A77}"/>
    <hyperlink ref="E2" location="'rendiconto di liquidità'!A1" display="RENDICONTO DI LIQUIDITA'" xr:uid="{DD2B9897-59D5-2845-8E89-4B20B9BD1130}"/>
    <hyperlink ref="E5" location="'albero redditività'!A1" display="ALBERO REDDITITIVITA'" xr:uid="{732AF4BD-1A19-4744-A226-D258890DA9AF}"/>
  </hyperlinks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47A0E-F563-6346-B789-4F44584714BB}">
  <dimension ref="A1:Y161"/>
  <sheetViews>
    <sheetView showGridLines="0" topLeftCell="A22" workbookViewId="0">
      <selection activeCell="A34" sqref="A34:B34"/>
    </sheetView>
  </sheetViews>
  <sheetFormatPr baseColWidth="10" defaultColWidth="11.5" defaultRowHeight="12"/>
  <cols>
    <col min="1" max="1" width="16" customWidth="1"/>
    <col min="2" max="2" width="31.5" customWidth="1"/>
    <col min="3" max="3" width="22" customWidth="1"/>
    <col min="4" max="4" width="13.83203125" customWidth="1"/>
    <col min="5" max="9" width="14.5" customWidth="1"/>
    <col min="10" max="10" width="13.33203125" customWidth="1"/>
    <col min="11" max="19" width="22.5" customWidth="1"/>
  </cols>
  <sheetData>
    <row r="1" spans="1:15" ht="18">
      <c r="A1" s="454"/>
      <c r="B1" s="454"/>
      <c r="F1" s="171"/>
    </row>
    <row r="2" spans="1:15" ht="18">
      <c r="A2" s="454">
        <v>1</v>
      </c>
      <c r="B2" s="663" t="s">
        <v>659</v>
      </c>
      <c r="D2" s="454">
        <v>9</v>
      </c>
      <c r="E2" s="663" t="s">
        <v>610</v>
      </c>
      <c r="F2" s="171"/>
    </row>
    <row r="3" spans="1:15" ht="18">
      <c r="A3" s="454">
        <v>2</v>
      </c>
      <c r="B3" s="663" t="s">
        <v>607</v>
      </c>
      <c r="D3" s="454">
        <v>10</v>
      </c>
      <c r="E3" s="663" t="s">
        <v>661</v>
      </c>
      <c r="F3" s="171"/>
      <c r="O3" s="714">
        <v>1</v>
      </c>
    </row>
    <row r="4" spans="1:15" ht="18">
      <c r="A4" s="454">
        <v>3</v>
      </c>
      <c r="B4" s="663" t="s">
        <v>609</v>
      </c>
      <c r="D4" s="454">
        <v>11</v>
      </c>
      <c r="E4" s="663" t="s">
        <v>662</v>
      </c>
      <c r="F4" s="171"/>
    </row>
    <row r="5" spans="1:15" ht="18">
      <c r="A5" s="454">
        <v>4</v>
      </c>
      <c r="B5" s="663" t="s">
        <v>660</v>
      </c>
      <c r="D5" s="454">
        <v>12</v>
      </c>
      <c r="E5" s="663" t="s">
        <v>663</v>
      </c>
      <c r="F5" s="171"/>
      <c r="N5" s="2" t="s">
        <v>731</v>
      </c>
      <c r="O5" s="2"/>
    </row>
    <row r="6" spans="1:15" ht="18">
      <c r="A6" s="454">
        <v>5</v>
      </c>
      <c r="B6" s="663" t="s">
        <v>611</v>
      </c>
      <c r="D6" s="454">
        <v>13</v>
      </c>
      <c r="E6" s="663" t="s">
        <v>663</v>
      </c>
      <c r="F6" s="171"/>
      <c r="N6" s="2">
        <v>0</v>
      </c>
      <c r="O6" s="2">
        <f>+CHOOSE(O3,1,4,7,10)</f>
        <v>1</v>
      </c>
    </row>
    <row r="7" spans="1:15" ht="18">
      <c r="A7" s="454">
        <v>6</v>
      </c>
      <c r="B7" s="663" t="s">
        <v>613</v>
      </c>
      <c r="D7" s="454">
        <v>14</v>
      </c>
      <c r="E7" s="663" t="s">
        <v>664</v>
      </c>
      <c r="F7" s="171"/>
      <c r="N7" s="2">
        <v>1</v>
      </c>
      <c r="O7" s="2">
        <v>3</v>
      </c>
    </row>
    <row r="8" spans="1:15" ht="18">
      <c r="A8" s="454">
        <v>7</v>
      </c>
      <c r="B8" s="663" t="s">
        <v>612</v>
      </c>
      <c r="D8" s="454">
        <v>15</v>
      </c>
      <c r="E8" s="663" t="s">
        <v>665</v>
      </c>
      <c r="F8" s="171"/>
    </row>
    <row r="9" spans="1:15" ht="18">
      <c r="A9" s="454">
        <v>8</v>
      </c>
      <c r="B9" s="663" t="s">
        <v>608</v>
      </c>
      <c r="D9" s="454">
        <v>16</v>
      </c>
      <c r="E9" s="663" t="s">
        <v>666</v>
      </c>
      <c r="F9" s="171"/>
    </row>
    <row r="10" spans="1:15" ht="13">
      <c r="A10" s="171"/>
      <c r="B10" s="609"/>
      <c r="C10" s="171"/>
      <c r="D10" s="646"/>
      <c r="E10" s="647"/>
      <c r="F10" s="171"/>
    </row>
    <row r="11" spans="1:15" ht="13">
      <c r="A11" s="171"/>
      <c r="B11" s="609"/>
      <c r="C11" s="171"/>
      <c r="D11" s="646"/>
      <c r="E11" s="647"/>
      <c r="F11" s="171"/>
    </row>
    <row r="12" spans="1:15" ht="13">
      <c r="A12" s="171"/>
      <c r="B12" s="609"/>
      <c r="C12" s="171"/>
      <c r="D12" s="646"/>
      <c r="E12" s="647"/>
      <c r="F12" s="171"/>
    </row>
    <row r="17" spans="1:16">
      <c r="E17" s="93"/>
    </row>
    <row r="19" spans="1:16">
      <c r="E19" s="93"/>
    </row>
    <row r="21" spans="1:16" ht="13">
      <c r="D21" s="648"/>
      <c r="E21" s="596"/>
      <c r="F21" s="596"/>
      <c r="G21" s="596"/>
      <c r="H21" s="649"/>
      <c r="I21" s="649"/>
      <c r="J21" s="649"/>
      <c r="K21" s="649"/>
      <c r="L21" s="649"/>
    </row>
    <row r="23" spans="1:16" ht="18">
      <c r="A23" s="650" t="s">
        <v>614</v>
      </c>
      <c r="B23" s="651" t="s">
        <v>730</v>
      </c>
      <c r="C23" s="652" t="s">
        <v>616</v>
      </c>
      <c r="D23" s="653" t="s">
        <v>617</v>
      </c>
      <c r="E23" s="686" t="s">
        <v>709</v>
      </c>
      <c r="F23" s="686" t="s">
        <v>710</v>
      </c>
      <c r="G23" s="686" t="s">
        <v>711</v>
      </c>
      <c r="H23" s="686" t="s">
        <v>712</v>
      </c>
      <c r="I23" s="686" t="s">
        <v>713</v>
      </c>
      <c r="J23" s="686" t="s">
        <v>714</v>
      </c>
      <c r="K23" s="686" t="s">
        <v>715</v>
      </c>
      <c r="L23" s="686" t="s">
        <v>716</v>
      </c>
      <c r="M23" s="686" t="s">
        <v>717</v>
      </c>
      <c r="N23" s="686" t="s">
        <v>718</v>
      </c>
      <c r="O23" s="686" t="s">
        <v>719</v>
      </c>
      <c r="P23" s="686" t="s">
        <v>720</v>
      </c>
    </row>
    <row r="24" spans="1:16">
      <c r="A24" s="655" t="s">
        <v>190</v>
      </c>
      <c r="B24" s="655" t="s">
        <v>276</v>
      </c>
      <c r="C24" s="655" t="s">
        <v>17</v>
      </c>
      <c r="D24" s="655" t="s">
        <v>178</v>
      </c>
      <c r="E24" s="685">
        <v>3.2000000000000001E-2</v>
      </c>
      <c r="F24" s="685">
        <v>3.5000000000000003E-2</v>
      </c>
      <c r="G24" s="685">
        <v>0.04</v>
      </c>
      <c r="H24" s="685"/>
      <c r="I24" s="685"/>
      <c r="J24" s="685"/>
      <c r="K24" s="685"/>
      <c r="L24" s="685"/>
      <c r="M24" s="657"/>
      <c r="N24" s="657"/>
      <c r="O24" s="657"/>
      <c r="P24" s="657"/>
    </row>
    <row r="25" spans="1:16">
      <c r="A25" s="655" t="s">
        <v>44</v>
      </c>
      <c r="B25" s="655" t="s">
        <v>277</v>
      </c>
      <c r="C25" s="655" t="s">
        <v>279</v>
      </c>
      <c r="D25" s="655" t="s">
        <v>44</v>
      </c>
      <c r="E25" s="668">
        <f>+'Stato patrimoniale'!B95</f>
        <v>3.548661087049626E-3</v>
      </c>
      <c r="F25" s="668">
        <f>+'Stato patrimoniale'!C95</f>
        <v>4.5644543903758253E-3</v>
      </c>
      <c r="G25" s="668">
        <f>+'Stato patrimoniale'!D95</f>
        <v>1.7034568324203641E-3</v>
      </c>
      <c r="H25" s="657"/>
      <c r="I25" s="657"/>
      <c r="J25" s="657"/>
      <c r="K25" s="657"/>
      <c r="L25" s="657"/>
      <c r="M25" s="657"/>
      <c r="N25" s="657"/>
      <c r="O25" s="657"/>
      <c r="P25" s="657"/>
    </row>
    <row r="26" spans="1:16">
      <c r="A26" s="655" t="s">
        <v>44</v>
      </c>
      <c r="B26" s="655" t="s">
        <v>675</v>
      </c>
      <c r="C26" s="655" t="s">
        <v>676</v>
      </c>
      <c r="D26" s="655" t="s">
        <v>677</v>
      </c>
      <c r="E26" s="657">
        <f>+'Stato patrimoniale'!B88</f>
        <v>81.901332083889798</v>
      </c>
      <c r="F26" s="657">
        <f>+'Stato patrimoniale'!C88</f>
        <v>67.750726569294642</v>
      </c>
      <c r="G26" s="657">
        <f>+'Stato patrimoniale'!D88</f>
        <v>82.755468775898819</v>
      </c>
      <c r="H26" s="657"/>
      <c r="I26" s="657"/>
      <c r="J26" s="657"/>
      <c r="K26" s="657"/>
      <c r="L26" s="657"/>
      <c r="M26" s="657"/>
      <c r="N26" s="657"/>
      <c r="O26" s="657"/>
      <c r="P26" s="657"/>
    </row>
    <row r="27" spans="1:16" ht="13">
      <c r="A27" s="681" t="s">
        <v>44</v>
      </c>
      <c r="B27" s="655" t="s">
        <v>693</v>
      </c>
      <c r="C27" s="655" t="s">
        <v>694</v>
      </c>
      <c r="D27" s="655" t="s">
        <v>695</v>
      </c>
      <c r="E27" s="657">
        <f>+'rendiconto finanziario'!B19</f>
        <v>502135</v>
      </c>
      <c r="F27" s="657">
        <f>+'rendiconto finanziario'!C19</f>
        <v>467987</v>
      </c>
      <c r="G27" s="657">
        <f>+'rendiconto finanziario'!D19</f>
        <v>423822</v>
      </c>
      <c r="H27" s="657"/>
      <c r="I27" s="657"/>
      <c r="J27" s="657"/>
      <c r="K27" s="657"/>
      <c r="L27" s="657"/>
      <c r="M27" s="657"/>
      <c r="N27" s="657"/>
      <c r="O27" s="657"/>
      <c r="P27" s="657"/>
    </row>
    <row r="28" spans="1:16" s="27" customFormat="1" ht="13">
      <c r="A28" s="681" t="s">
        <v>44</v>
      </c>
      <c r="B28" s="655" t="s">
        <v>230</v>
      </c>
      <c r="C28" s="655"/>
      <c r="D28" s="655" t="s">
        <v>646</v>
      </c>
      <c r="E28" s="657">
        <f>+'Stato patrimoniale'!B77</f>
        <v>-3429834</v>
      </c>
      <c r="F28" s="657">
        <f>+'Stato patrimoniale'!C77</f>
        <v>-3555010</v>
      </c>
      <c r="G28" s="657">
        <f>+'Stato patrimoniale'!D77</f>
        <v>-3533344</v>
      </c>
      <c r="H28" s="657"/>
      <c r="I28" s="657"/>
      <c r="J28" s="657"/>
      <c r="K28" s="657"/>
      <c r="L28" s="657"/>
      <c r="M28" s="657"/>
      <c r="N28" s="657"/>
      <c r="O28" s="657"/>
      <c r="P28" s="657"/>
    </row>
    <row r="29" spans="1:16">
      <c r="A29" s="655" t="s">
        <v>223</v>
      </c>
      <c r="B29" s="655" t="s">
        <v>142</v>
      </c>
      <c r="C29" s="655" t="s">
        <v>92</v>
      </c>
      <c r="D29" s="655" t="s">
        <v>627</v>
      </c>
      <c r="E29" s="657">
        <f>+'conto economico va'!H14/'conto economico va'!H53</f>
        <v>6.5903520228404808</v>
      </c>
      <c r="F29" s="657">
        <f>+'conto economico va'!E14/'conto economico va'!E53</f>
        <v>6.8584392731673285</v>
      </c>
      <c r="G29" s="657">
        <f>+'conto economico va'!B14/'conto economico va'!B53</f>
        <v>7.0818394982190682</v>
      </c>
      <c r="H29" s="657"/>
      <c r="I29" s="657"/>
      <c r="J29" s="657"/>
      <c r="K29" s="657"/>
      <c r="L29" s="657"/>
      <c r="M29" s="658"/>
      <c r="N29" s="658"/>
      <c r="O29" s="658"/>
      <c r="P29" s="658"/>
    </row>
    <row r="30" spans="1:16">
      <c r="A30" s="655" t="s">
        <v>209</v>
      </c>
      <c r="B30" s="655" t="s">
        <v>260</v>
      </c>
      <c r="C30" s="655" t="s">
        <v>631</v>
      </c>
      <c r="D30" s="655" t="s">
        <v>632</v>
      </c>
      <c r="E30" s="658">
        <f>+'Stato patrimoniale'!B76</f>
        <v>1.3337426906693999</v>
      </c>
      <c r="F30" s="658">
        <f>+'Stato patrimoniale'!C76</f>
        <v>1.3822997189512145</v>
      </c>
      <c r="G30" s="658">
        <f>+'Stato patrimoniale'!D76</f>
        <v>1.3572537713711028</v>
      </c>
      <c r="H30" s="658"/>
      <c r="I30" s="658"/>
      <c r="J30" s="658"/>
      <c r="K30" s="658"/>
      <c r="L30" s="658"/>
      <c r="M30" s="655"/>
      <c r="N30" s="655"/>
      <c r="O30" s="655"/>
      <c r="P30" s="655"/>
    </row>
    <row r="31" spans="1:16" ht="13">
      <c r="A31" s="681" t="s">
        <v>678</v>
      </c>
      <c r="B31" s="655" t="s">
        <v>680</v>
      </c>
      <c r="C31" s="655" t="s">
        <v>681</v>
      </c>
      <c r="D31" s="655" t="s">
        <v>177</v>
      </c>
      <c r="E31" s="684">
        <f>+'conto economico va'!H14</f>
        <v>5207538</v>
      </c>
      <c r="F31" s="684">
        <f>+'conto economico va'!E14</f>
        <v>5554067</v>
      </c>
      <c r="G31" s="684">
        <f>+'conto economico va'!B14</f>
        <v>5946826</v>
      </c>
      <c r="H31" s="660"/>
      <c r="I31" s="683"/>
      <c r="J31" s="655"/>
      <c r="K31" s="655"/>
      <c r="L31" s="655"/>
      <c r="M31" s="655"/>
      <c r="N31" s="655"/>
      <c r="O31" s="655"/>
      <c r="P31" s="655"/>
    </row>
    <row r="32" spans="1:16" ht="13">
      <c r="A32" s="681" t="s">
        <v>678</v>
      </c>
      <c r="B32" s="655" t="s">
        <v>682</v>
      </c>
      <c r="C32" s="655" t="s">
        <v>679</v>
      </c>
      <c r="D32" s="655" t="s">
        <v>679</v>
      </c>
      <c r="E32" s="657">
        <f>+E31/200</f>
        <v>26037.69</v>
      </c>
      <c r="F32" s="657">
        <f>+F31/200</f>
        <v>27770.334999999999</v>
      </c>
      <c r="G32" s="657">
        <f>+G31/200</f>
        <v>29734.13</v>
      </c>
      <c r="H32" s="655"/>
      <c r="I32" s="655"/>
      <c r="J32" s="660"/>
      <c r="K32" s="655"/>
      <c r="L32" s="655"/>
      <c r="M32" s="655"/>
      <c r="N32" s="655"/>
      <c r="O32" s="655"/>
      <c r="P32" s="655"/>
    </row>
    <row r="33" spans="1:19" ht="13">
      <c r="A33" s="681" t="s">
        <v>678</v>
      </c>
      <c r="B33" s="655" t="s">
        <v>683</v>
      </c>
      <c r="C33" s="655" t="s">
        <v>684</v>
      </c>
      <c r="D33" s="655" t="s">
        <v>685</v>
      </c>
      <c r="E33" s="655"/>
      <c r="F33" s="655"/>
      <c r="G33" s="655"/>
      <c r="H33" s="655"/>
      <c r="I33" s="655"/>
      <c r="J33" s="655"/>
      <c r="K33" s="655"/>
      <c r="L33" s="655"/>
      <c r="M33" s="655"/>
      <c r="N33" s="655"/>
      <c r="O33" s="655"/>
      <c r="P33" s="655"/>
    </row>
    <row r="34" spans="1:19" ht="13">
      <c r="A34" s="681" t="s">
        <v>678</v>
      </c>
      <c r="B34" s="655" t="s">
        <v>691</v>
      </c>
      <c r="C34" s="655"/>
      <c r="D34" s="655" t="s">
        <v>692</v>
      </c>
      <c r="E34" s="655"/>
      <c r="F34" s="655"/>
      <c r="G34" s="655"/>
      <c r="H34" s="655"/>
      <c r="I34" s="655"/>
      <c r="J34" s="655"/>
      <c r="K34" s="655"/>
      <c r="L34" s="655"/>
      <c r="M34" s="655"/>
      <c r="N34" s="655"/>
      <c r="O34" s="655"/>
      <c r="P34" s="655"/>
    </row>
    <row r="35" spans="1:19" ht="13">
      <c r="A35" s="681" t="s">
        <v>678</v>
      </c>
      <c r="B35" s="681" t="s">
        <v>698</v>
      </c>
      <c r="C35" s="681" t="s">
        <v>698</v>
      </c>
      <c r="D35" s="655" t="s">
        <v>699</v>
      </c>
      <c r="E35" s="655"/>
      <c r="F35" s="655"/>
      <c r="G35" s="655"/>
      <c r="H35" s="655"/>
      <c r="I35" s="655"/>
      <c r="J35" s="655"/>
      <c r="K35" s="655"/>
      <c r="L35" s="655"/>
      <c r="M35" s="655"/>
      <c r="N35" s="655"/>
      <c r="O35" s="655"/>
      <c r="P35" s="655"/>
    </row>
    <row r="36" spans="1:19" ht="13">
      <c r="A36" s="681" t="s">
        <v>678</v>
      </c>
      <c r="B36" s="681" t="s">
        <v>700</v>
      </c>
      <c r="C36" s="681" t="s">
        <v>701</v>
      </c>
      <c r="D36" s="655" t="s">
        <v>702</v>
      </c>
      <c r="E36" s="655"/>
      <c r="F36" s="655"/>
      <c r="G36" s="655"/>
      <c r="H36" s="655"/>
      <c r="I36" s="655"/>
      <c r="J36" s="655"/>
      <c r="K36" s="655"/>
      <c r="L36" s="655"/>
      <c r="M36" s="655"/>
      <c r="N36" s="655"/>
      <c r="O36" s="655"/>
      <c r="P36" s="655"/>
    </row>
    <row r="37" spans="1:19" ht="13">
      <c r="A37" s="681" t="s">
        <v>686</v>
      </c>
      <c r="B37" s="655" t="s">
        <v>687</v>
      </c>
      <c r="C37" s="655" t="s">
        <v>688</v>
      </c>
      <c r="D37" s="655" t="s">
        <v>689</v>
      </c>
      <c r="E37" s="655"/>
      <c r="F37" s="655"/>
      <c r="G37" s="655"/>
      <c r="H37" s="655"/>
      <c r="I37" s="655"/>
      <c r="J37" s="655"/>
      <c r="K37" s="655"/>
      <c r="L37" s="655"/>
      <c r="M37" s="655"/>
      <c r="N37" s="655"/>
      <c r="O37" s="655"/>
      <c r="P37" s="655"/>
    </row>
    <row r="38" spans="1:19" ht="13">
      <c r="A38" s="681" t="s">
        <v>690</v>
      </c>
      <c r="B38" s="655" t="s">
        <v>705</v>
      </c>
      <c r="C38" s="655"/>
      <c r="D38" s="655" t="s">
        <v>706</v>
      </c>
      <c r="E38" s="655"/>
      <c r="F38" s="655"/>
      <c r="G38" s="655"/>
      <c r="H38" s="655"/>
      <c r="I38" s="655"/>
      <c r="J38" s="655"/>
      <c r="K38" s="655"/>
      <c r="L38" s="655"/>
      <c r="M38" s="655"/>
      <c r="N38" s="655"/>
      <c r="O38" s="655"/>
      <c r="P38" s="655"/>
    </row>
    <row r="39" spans="1:19" ht="13">
      <c r="A39" s="681" t="s">
        <v>690</v>
      </c>
      <c r="B39" s="655" t="s">
        <v>696</v>
      </c>
      <c r="C39" s="682"/>
      <c r="D39" s="655" t="s">
        <v>697</v>
      </c>
      <c r="E39" s="655"/>
      <c r="F39" s="655"/>
      <c r="G39" s="655"/>
      <c r="H39" s="655"/>
      <c r="I39" s="655"/>
      <c r="J39" s="655"/>
      <c r="K39" s="655"/>
      <c r="L39" s="655"/>
      <c r="M39" s="657"/>
      <c r="N39" s="657"/>
      <c r="O39" s="657"/>
      <c r="P39" s="657"/>
    </row>
    <row r="40" spans="1:19" ht="13">
      <c r="A40" s="681" t="s">
        <v>690</v>
      </c>
      <c r="B40" s="655" t="s">
        <v>703</v>
      </c>
      <c r="C40" s="682"/>
      <c r="D40" s="655" t="s">
        <v>704</v>
      </c>
      <c r="E40" s="655"/>
      <c r="F40" s="655"/>
      <c r="G40" s="655"/>
      <c r="H40" s="655"/>
      <c r="I40" s="655"/>
      <c r="J40" s="655"/>
      <c r="K40" s="655"/>
      <c r="L40" s="655"/>
      <c r="M40" s="657"/>
      <c r="N40" s="657"/>
      <c r="O40" s="657"/>
      <c r="P40" s="657"/>
    </row>
    <row r="41" spans="1:19" ht="13">
      <c r="A41" s="681" t="s">
        <v>707</v>
      </c>
      <c r="B41" s="655" t="s">
        <v>708</v>
      </c>
      <c r="C41" s="682"/>
      <c r="D41" s="655" t="s">
        <v>708</v>
      </c>
      <c r="E41" s="655"/>
      <c r="F41" s="655"/>
      <c r="G41" s="655"/>
      <c r="H41" s="655"/>
      <c r="I41" s="655"/>
      <c r="J41" s="655"/>
      <c r="K41" s="655"/>
      <c r="L41" s="655"/>
      <c r="M41" s="657"/>
      <c r="N41" s="657"/>
      <c r="O41" s="657"/>
      <c r="P41" s="657"/>
    </row>
    <row r="42" spans="1:19" ht="13">
      <c r="A42" s="681" t="s">
        <v>707</v>
      </c>
      <c r="B42" s="655" t="s">
        <v>727</v>
      </c>
      <c r="C42" s="682"/>
      <c r="D42" s="655" t="s">
        <v>692</v>
      </c>
      <c r="E42" s="655"/>
      <c r="F42" s="655"/>
      <c r="G42" s="655"/>
      <c r="H42" s="655"/>
      <c r="I42" s="655"/>
      <c r="J42" s="655"/>
      <c r="K42" s="655"/>
      <c r="L42" s="655"/>
      <c r="M42" s="657"/>
      <c r="N42" s="657"/>
      <c r="O42" s="657"/>
      <c r="P42" s="657"/>
    </row>
    <row r="43" spans="1:19" ht="13">
      <c r="A43" s="681" t="s">
        <v>707</v>
      </c>
      <c r="B43" s="655" t="s">
        <v>728</v>
      </c>
      <c r="C43" s="682"/>
      <c r="D43" s="655" t="s">
        <v>729</v>
      </c>
      <c r="E43" s="655"/>
      <c r="F43" s="655"/>
      <c r="G43" s="655"/>
      <c r="H43" s="655"/>
      <c r="I43" s="655"/>
      <c r="J43" s="655"/>
      <c r="K43" s="655"/>
      <c r="L43" s="655"/>
      <c r="M43" s="657"/>
      <c r="N43" s="657"/>
      <c r="O43" s="657"/>
      <c r="P43" s="657"/>
    </row>
    <row r="46" spans="1:19" ht="13" thickBot="1">
      <c r="C46" s="1"/>
    </row>
    <row r="47" spans="1:19" ht="18">
      <c r="A47" s="687" t="s">
        <v>614</v>
      </c>
      <c r="B47" s="687" t="s">
        <v>730</v>
      </c>
      <c r="C47" s="688" t="s">
        <v>616</v>
      </c>
      <c r="D47" s="689" t="s">
        <v>617</v>
      </c>
      <c r="E47" s="690" t="e">
        <v>#REF!</v>
      </c>
      <c r="F47" s="690"/>
      <c r="G47" s="690"/>
      <c r="H47" s="700" t="s">
        <v>721</v>
      </c>
      <c r="I47" s="701" t="s">
        <v>666</v>
      </c>
      <c r="K47" s="687" t="s">
        <v>614</v>
      </c>
      <c r="L47" s="687" t="s">
        <v>730</v>
      </c>
      <c r="M47" s="688" t="s">
        <v>616</v>
      </c>
      <c r="N47" s="689" t="s">
        <v>617</v>
      </c>
      <c r="O47" s="690" t="e">
        <v>#REF!</v>
      </c>
      <c r="P47" s="690"/>
      <c r="Q47" s="690"/>
      <c r="R47" s="686" t="s">
        <v>721</v>
      </c>
      <c r="S47" s="701" t="s">
        <v>666</v>
      </c>
    </row>
    <row r="48" spans="1:19" ht="25">
      <c r="A48" s="691" t="str">
        <f>+A24</f>
        <v>REDDITIVITA'</v>
      </c>
      <c r="B48" s="691" t="str">
        <f t="shared" ref="B48:D48" si="0">+B24</f>
        <v>REDDITIVITA' VENDITE ROS</v>
      </c>
      <c r="C48" s="691" t="str">
        <f t="shared" si="0"/>
        <v>RO/RICAVI</v>
      </c>
      <c r="D48" s="691" t="str">
        <f t="shared" si="0"/>
        <v>ROS</v>
      </c>
      <c r="E48" s="692" cm="1">
        <f t="array" aca="1" ref="E48:G48" ca="1">+OFFSET(INDIRECT(MID(_xlfn.FORMULATEXT(D48),3,3)),$N$6,$O$6,$N$7,$O$7)</f>
        <v>3.2000000000000001E-2</v>
      </c>
      <c r="F48" s="709">
        <f ca="1"/>
        <v>3.5000000000000003E-2</v>
      </c>
      <c r="G48" s="709">
        <f ca="1"/>
        <v>0.04</v>
      </c>
      <c r="H48" s="715">
        <v>7.0000000000000007E-2</v>
      </c>
      <c r="I48" s="702" t="str">
        <f ca="1">+IF(AVERAGE(E48:G48)&gt;=U49,V49,IF(AVERAGE(E48:G48)&gt;=U50,V50,V51))</f>
        <v>🥲</v>
      </c>
      <c r="K48" s="691" t="str">
        <f>+A25</f>
        <v>LIQUIDITA'</v>
      </c>
      <c r="L48" s="691" t="str">
        <f t="shared" ref="L48:N48" si="1">+B25</f>
        <v>INDICE DI LIQUIDITA'</v>
      </c>
      <c r="M48" s="691" t="str">
        <f t="shared" si="1"/>
        <v>LIQUIDITA'/PASS CORR</v>
      </c>
      <c r="N48" s="691" t="str">
        <f t="shared" si="1"/>
        <v>LIQUIDITA'</v>
      </c>
      <c r="O48" s="716" cm="1">
        <f t="array" aca="1" ref="O48:Q48" ca="1">+OFFSET(INDIRECT(MID(_xlfn.FORMULATEXT(N48),3,3)),$N$6,$O$6,$N$7,$O$7)</f>
        <v>3.548661087049626E-3</v>
      </c>
      <c r="P48" s="705">
        <f ca="1"/>
        <v>4.5644543903758253E-3</v>
      </c>
      <c r="Q48" s="705">
        <f ca="1"/>
        <v>1.7034568324203641E-3</v>
      </c>
      <c r="R48" s="715">
        <v>0.5</v>
      </c>
      <c r="S48" s="702" t="str">
        <f ca="1">+IF(AVERAGE(O48:Q48)&gt;=X49,Y49,IF(AVERAGE(O48:Q48)&gt;=X50,Y50,Y51))</f>
        <v>🥲</v>
      </c>
    </row>
    <row r="49" spans="3:25" ht="28">
      <c r="C49" s="1"/>
      <c r="D49" s="718" t="s">
        <v>722</v>
      </c>
      <c r="E49" s="719"/>
      <c r="F49" s="719"/>
      <c r="G49" s="719"/>
      <c r="H49" s="719"/>
      <c r="I49" s="720"/>
      <c r="M49" s="1"/>
      <c r="N49" s="718" t="s">
        <v>722</v>
      </c>
      <c r="O49" s="719"/>
      <c r="P49" s="719"/>
      <c r="Q49" s="719"/>
      <c r="R49" s="719"/>
      <c r="S49" s="720"/>
      <c r="U49" s="11">
        <v>0.1</v>
      </c>
      <c r="V49" s="694" t="s">
        <v>724</v>
      </c>
      <c r="X49" s="11">
        <v>0.12</v>
      </c>
      <c r="Y49" s="694" t="s">
        <v>724</v>
      </c>
    </row>
    <row r="50" spans="3:25" ht="28">
      <c r="D50" s="721"/>
      <c r="E50" s="722"/>
      <c r="F50" s="722"/>
      <c r="G50" s="722"/>
      <c r="H50" s="722"/>
      <c r="I50" s="723"/>
      <c r="N50" s="721"/>
      <c r="O50" s="722"/>
      <c r="P50" s="722"/>
      <c r="Q50" s="722"/>
      <c r="R50" s="722"/>
      <c r="S50" s="723"/>
      <c r="U50" s="11">
        <v>0.05</v>
      </c>
      <c r="V50" s="694" t="s">
        <v>726</v>
      </c>
      <c r="X50" s="11">
        <v>0.06</v>
      </c>
      <c r="Y50" s="694" t="s">
        <v>726</v>
      </c>
    </row>
    <row r="51" spans="3:25" ht="28">
      <c r="D51" s="721"/>
      <c r="E51" s="722"/>
      <c r="F51" s="722"/>
      <c r="G51" s="722"/>
      <c r="H51" s="722"/>
      <c r="I51" s="723"/>
      <c r="N51" s="721"/>
      <c r="O51" s="722"/>
      <c r="P51" s="722"/>
      <c r="Q51" s="722"/>
      <c r="R51" s="722"/>
      <c r="S51" s="723"/>
      <c r="V51" s="694" t="s">
        <v>725</v>
      </c>
      <c r="Y51" s="694" t="s">
        <v>725</v>
      </c>
    </row>
    <row r="52" spans="3:25">
      <c r="D52" s="721"/>
      <c r="E52" s="722"/>
      <c r="F52" s="722"/>
      <c r="G52" s="722"/>
      <c r="H52" s="722"/>
      <c r="I52" s="723"/>
      <c r="N52" s="721"/>
      <c r="O52" s="722"/>
      <c r="P52" s="722"/>
      <c r="Q52" s="722"/>
      <c r="R52" s="722"/>
      <c r="S52" s="723"/>
    </row>
    <row r="53" spans="3:25">
      <c r="D53" s="721"/>
      <c r="E53" s="722"/>
      <c r="F53" s="722"/>
      <c r="G53" s="722"/>
      <c r="H53" s="722"/>
      <c r="I53" s="723"/>
      <c r="N53" s="721"/>
      <c r="O53" s="722"/>
      <c r="P53" s="722"/>
      <c r="Q53" s="722"/>
      <c r="R53" s="722"/>
      <c r="S53" s="723"/>
    </row>
    <row r="54" spans="3:25">
      <c r="D54" s="721"/>
      <c r="E54" s="722"/>
      <c r="F54" s="722"/>
      <c r="G54" s="722"/>
      <c r="H54" s="722"/>
      <c r="I54" s="723"/>
      <c r="N54" s="721"/>
      <c r="O54" s="722"/>
      <c r="P54" s="722"/>
      <c r="Q54" s="722"/>
      <c r="R54" s="722"/>
      <c r="S54" s="723"/>
    </row>
    <row r="55" spans="3:25">
      <c r="D55" s="721"/>
      <c r="E55" s="722"/>
      <c r="F55" s="722"/>
      <c r="G55" s="722"/>
      <c r="H55" s="722"/>
      <c r="I55" s="723"/>
      <c r="N55" s="721"/>
      <c r="O55" s="722"/>
      <c r="P55" s="722"/>
      <c r="Q55" s="722"/>
      <c r="R55" s="722"/>
      <c r="S55" s="723"/>
    </row>
    <row r="56" spans="3:25">
      <c r="D56" s="721"/>
      <c r="E56" s="722"/>
      <c r="F56" s="722"/>
      <c r="G56" s="722"/>
      <c r="H56" s="722"/>
      <c r="I56" s="723"/>
      <c r="N56" s="721"/>
      <c r="O56" s="722"/>
      <c r="P56" s="722"/>
      <c r="Q56" s="722"/>
      <c r="R56" s="722"/>
      <c r="S56" s="723"/>
    </row>
    <row r="57" spans="3:25">
      <c r="D57" s="724"/>
      <c r="E57" s="725"/>
      <c r="F57" s="725"/>
      <c r="G57" s="725"/>
      <c r="H57" s="725"/>
      <c r="I57" s="726"/>
      <c r="N57" s="724"/>
      <c r="O57" s="725"/>
      <c r="P57" s="725"/>
      <c r="Q57" s="725"/>
      <c r="R57" s="725"/>
      <c r="S57" s="726"/>
    </row>
    <row r="58" spans="3:25">
      <c r="D58" s="718" t="s">
        <v>723</v>
      </c>
      <c r="E58" s="719"/>
      <c r="F58" s="719"/>
      <c r="G58" s="719"/>
      <c r="H58" s="719"/>
      <c r="I58" s="720"/>
      <c r="N58" s="718" t="s">
        <v>723</v>
      </c>
      <c r="O58" s="719"/>
      <c r="P58" s="719"/>
      <c r="Q58" s="719"/>
      <c r="R58" s="719"/>
      <c r="S58" s="720"/>
    </row>
    <row r="59" spans="3:25">
      <c r="D59" s="721"/>
      <c r="E59" s="722"/>
      <c r="F59" s="722"/>
      <c r="G59" s="722"/>
      <c r="H59" s="722"/>
      <c r="I59" s="723"/>
      <c r="N59" s="721"/>
      <c r="O59" s="722"/>
      <c r="P59" s="722"/>
      <c r="Q59" s="722"/>
      <c r="R59" s="722"/>
      <c r="S59" s="723"/>
    </row>
    <row r="60" spans="3:25">
      <c r="D60" s="721"/>
      <c r="E60" s="722"/>
      <c r="F60" s="722"/>
      <c r="G60" s="722"/>
      <c r="H60" s="722"/>
      <c r="I60" s="723"/>
      <c r="N60" s="721"/>
      <c r="O60" s="722"/>
      <c r="P60" s="722"/>
      <c r="Q60" s="722"/>
      <c r="R60" s="722"/>
      <c r="S60" s="723"/>
    </row>
    <row r="61" spans="3:25">
      <c r="D61" s="721"/>
      <c r="E61" s="722"/>
      <c r="F61" s="722"/>
      <c r="G61" s="722"/>
      <c r="H61" s="722"/>
      <c r="I61" s="723"/>
      <c r="N61" s="721"/>
      <c r="O61" s="722"/>
      <c r="P61" s="722"/>
      <c r="Q61" s="722"/>
      <c r="R61" s="722"/>
      <c r="S61" s="723"/>
    </row>
    <row r="62" spans="3:25">
      <c r="D62" s="721"/>
      <c r="E62" s="722"/>
      <c r="F62" s="722"/>
      <c r="G62" s="722"/>
      <c r="H62" s="722"/>
      <c r="I62" s="723"/>
      <c r="N62" s="721"/>
      <c r="O62" s="722"/>
      <c r="P62" s="722"/>
      <c r="Q62" s="722"/>
      <c r="R62" s="722"/>
      <c r="S62" s="723"/>
    </row>
    <row r="63" spans="3:25">
      <c r="D63" s="721"/>
      <c r="E63" s="722"/>
      <c r="F63" s="722"/>
      <c r="G63" s="722"/>
      <c r="H63" s="722"/>
      <c r="I63" s="723"/>
      <c r="N63" s="721"/>
      <c r="O63" s="722"/>
      <c r="P63" s="722"/>
      <c r="Q63" s="722"/>
      <c r="R63" s="722"/>
      <c r="S63" s="723"/>
    </row>
    <row r="64" spans="3:25">
      <c r="D64" s="721"/>
      <c r="E64" s="722"/>
      <c r="F64" s="722"/>
      <c r="G64" s="722"/>
      <c r="H64" s="722"/>
      <c r="I64" s="723"/>
      <c r="N64" s="721"/>
      <c r="O64" s="722"/>
      <c r="P64" s="722"/>
      <c r="Q64" s="722"/>
      <c r="R64" s="722"/>
      <c r="S64" s="723"/>
    </row>
    <row r="65" spans="1:25">
      <c r="D65" s="721"/>
      <c r="E65" s="722"/>
      <c r="F65" s="722"/>
      <c r="G65" s="722"/>
      <c r="H65" s="722"/>
      <c r="I65" s="723"/>
      <c r="N65" s="721"/>
      <c r="O65" s="722"/>
      <c r="P65" s="722"/>
      <c r="Q65" s="722"/>
      <c r="R65" s="722"/>
      <c r="S65" s="723"/>
    </row>
    <row r="66" spans="1:25">
      <c r="D66" s="721"/>
      <c r="E66" s="722"/>
      <c r="F66" s="722"/>
      <c r="G66" s="722"/>
      <c r="H66" s="722"/>
      <c r="I66" s="723"/>
      <c r="N66" s="721"/>
      <c r="O66" s="722"/>
      <c r="P66" s="722"/>
      <c r="Q66" s="722"/>
      <c r="R66" s="722"/>
      <c r="S66" s="723"/>
    </row>
    <row r="67" spans="1:25">
      <c r="D67" s="724"/>
      <c r="E67" s="725"/>
      <c r="F67" s="725"/>
      <c r="G67" s="725"/>
      <c r="H67" s="725"/>
      <c r="I67" s="726"/>
      <c r="N67" s="724"/>
      <c r="O67" s="725"/>
      <c r="P67" s="725"/>
      <c r="Q67" s="725"/>
      <c r="R67" s="725"/>
      <c r="S67" s="726"/>
    </row>
    <row r="70" spans="1:25" ht="13" thickBot="1"/>
    <row r="71" spans="1:25" ht="18">
      <c r="A71" s="687" t="s">
        <v>614</v>
      </c>
      <c r="B71" s="687" t="s">
        <v>730</v>
      </c>
      <c r="C71" s="688" t="s">
        <v>616</v>
      </c>
      <c r="D71" s="689" t="s">
        <v>617</v>
      </c>
      <c r="E71" s="690" t="e">
        <v>#REF!</v>
      </c>
      <c r="F71" s="690"/>
      <c r="G71" s="690"/>
      <c r="H71" s="686" t="s">
        <v>721</v>
      </c>
      <c r="I71" s="701" t="s">
        <v>666</v>
      </c>
      <c r="K71" s="687" t="s">
        <v>614</v>
      </c>
      <c r="L71" s="687" t="s">
        <v>730</v>
      </c>
      <c r="M71" s="688" t="s">
        <v>616</v>
      </c>
      <c r="N71" s="689" t="s">
        <v>617</v>
      </c>
      <c r="O71" s="690" t="e">
        <v>#REF!</v>
      </c>
      <c r="P71" s="690"/>
      <c r="Q71" s="690"/>
      <c r="R71" s="686" t="s">
        <v>721</v>
      </c>
      <c r="S71" s="701" t="s">
        <v>666</v>
      </c>
    </row>
    <row r="72" spans="1:25" ht="25">
      <c r="A72" s="691" t="str">
        <f>+A26</f>
        <v>LIQUIDITA'</v>
      </c>
      <c r="B72" s="691" t="str">
        <f t="shared" ref="B72:D72" si="2">+B26</f>
        <v>CASH CONVERSIONE CYCLE</v>
      </c>
      <c r="C72" s="691" t="str">
        <f t="shared" si="2"/>
        <v>GG CLI+GGMAG-GGFOR</v>
      </c>
      <c r="D72" s="691" t="str">
        <f t="shared" si="2"/>
        <v>CASH CONVERSION</v>
      </c>
      <c r="E72" s="709" cm="1">
        <f t="array" aca="1" ref="E72:G72" ca="1">+OFFSET(INDIRECT(MID(_xlfn.FORMULATEXT(D72),3,3)),$N$6,$O$6,$N$7,$O$7)</f>
        <v>81.901332083889798</v>
      </c>
      <c r="F72" s="695">
        <f ca="1"/>
        <v>67.750726569294642</v>
      </c>
      <c r="G72" s="695">
        <f ca="1"/>
        <v>82.755468775898819</v>
      </c>
      <c r="H72" s="693">
        <v>0.8</v>
      </c>
      <c r="I72" s="702" t="str">
        <f ca="1">+IF(AVERAGE(E72:G72)&gt;=U73,V73,IF(AVERAGE(E72:G72)&gt;=U74,V74,V75))</f>
        <v xml:space="preserve">😄 </v>
      </c>
      <c r="K72" s="691" t="str">
        <f>+A27</f>
        <v>LIQUIDITA'</v>
      </c>
      <c r="L72" s="691" t="str">
        <f t="shared" ref="L72:N72" si="3">+B27</f>
        <v>CASH DA GESTIONE REDDITUALE</v>
      </c>
      <c r="M72" s="691" t="str">
        <f t="shared" si="3"/>
        <v>UTILI + AMMORTAMENTI +ACCONTAMENTI</v>
      </c>
      <c r="N72" s="691" t="str">
        <f t="shared" si="3"/>
        <v>CASH FLOW</v>
      </c>
      <c r="O72" s="707" cm="1">
        <f t="array" aca="1" ref="O72:Q72" ca="1">+OFFSET(INDIRECT(MID(_xlfn.FORMULATEXT(N72),3,3)),$N$6,$O$6,$N$7,$O$7)</f>
        <v>502135</v>
      </c>
      <c r="P72" s="698">
        <f ca="1"/>
        <v>467987</v>
      </c>
      <c r="Q72" s="698">
        <f ca="1"/>
        <v>423822</v>
      </c>
      <c r="R72" s="693">
        <v>0.06</v>
      </c>
      <c r="S72" s="702" t="str">
        <f ca="1">+IF(AVERAGE(O72:Q72)&gt;=X73,Y73,IF(AVERAGE(O72:Q72)&gt;=X74,Y74,Y75))</f>
        <v xml:space="preserve">😄 </v>
      </c>
    </row>
    <row r="73" spans="1:25" ht="28">
      <c r="C73" s="1"/>
      <c r="D73" s="718" t="s">
        <v>722</v>
      </c>
      <c r="E73" s="719"/>
      <c r="F73" s="719"/>
      <c r="G73" s="719"/>
      <c r="H73" s="719"/>
      <c r="I73" s="720"/>
      <c r="M73" s="1"/>
      <c r="N73" s="718" t="s">
        <v>722</v>
      </c>
      <c r="O73" s="719"/>
      <c r="P73" s="719"/>
      <c r="Q73" s="719"/>
      <c r="R73" s="719"/>
      <c r="S73" s="720"/>
      <c r="U73" s="11">
        <v>0.8</v>
      </c>
      <c r="V73" s="694" t="s">
        <v>724</v>
      </c>
      <c r="X73" s="11">
        <v>0.12</v>
      </c>
      <c r="Y73" s="694" t="s">
        <v>724</v>
      </c>
    </row>
    <row r="74" spans="1:25" ht="28">
      <c r="D74" s="721"/>
      <c r="E74" s="722"/>
      <c r="F74" s="722"/>
      <c r="G74" s="722"/>
      <c r="H74" s="722"/>
      <c r="I74" s="723"/>
      <c r="N74" s="721"/>
      <c r="O74" s="722"/>
      <c r="P74" s="722"/>
      <c r="Q74" s="722"/>
      <c r="R74" s="722"/>
      <c r="S74" s="723"/>
      <c r="U74" s="11">
        <v>0.7</v>
      </c>
      <c r="V74" s="694" t="s">
        <v>726</v>
      </c>
      <c r="X74" s="11">
        <v>0.06</v>
      </c>
      <c r="Y74" s="694" t="s">
        <v>726</v>
      </c>
    </row>
    <row r="75" spans="1:25" ht="28">
      <c r="D75" s="721"/>
      <c r="E75" s="722"/>
      <c r="F75" s="722"/>
      <c r="G75" s="722"/>
      <c r="H75" s="722"/>
      <c r="I75" s="723"/>
      <c r="N75" s="721"/>
      <c r="O75" s="722"/>
      <c r="P75" s="722"/>
      <c r="Q75" s="722"/>
      <c r="R75" s="722"/>
      <c r="S75" s="723"/>
      <c r="V75" s="694" t="s">
        <v>725</v>
      </c>
      <c r="Y75" s="694" t="s">
        <v>725</v>
      </c>
    </row>
    <row r="76" spans="1:25">
      <c r="D76" s="721"/>
      <c r="E76" s="722"/>
      <c r="F76" s="722"/>
      <c r="G76" s="722"/>
      <c r="H76" s="722"/>
      <c r="I76" s="723"/>
      <c r="N76" s="721"/>
      <c r="O76" s="722"/>
      <c r="P76" s="722"/>
      <c r="Q76" s="722"/>
      <c r="R76" s="722"/>
      <c r="S76" s="723"/>
    </row>
    <row r="77" spans="1:25">
      <c r="D77" s="721"/>
      <c r="E77" s="722"/>
      <c r="F77" s="722"/>
      <c r="G77" s="722"/>
      <c r="H77" s="722"/>
      <c r="I77" s="723"/>
      <c r="N77" s="721"/>
      <c r="O77" s="722"/>
      <c r="P77" s="722"/>
      <c r="Q77" s="722"/>
      <c r="R77" s="722"/>
      <c r="S77" s="723"/>
    </row>
    <row r="78" spans="1:25">
      <c r="D78" s="721"/>
      <c r="E78" s="722"/>
      <c r="F78" s="722"/>
      <c r="G78" s="722"/>
      <c r="H78" s="722"/>
      <c r="I78" s="723"/>
      <c r="N78" s="721"/>
      <c r="O78" s="722"/>
      <c r="P78" s="722"/>
      <c r="Q78" s="722"/>
      <c r="R78" s="722"/>
      <c r="S78" s="723"/>
    </row>
    <row r="79" spans="1:25">
      <c r="D79" s="721"/>
      <c r="E79" s="722"/>
      <c r="F79" s="722"/>
      <c r="G79" s="722"/>
      <c r="H79" s="722"/>
      <c r="I79" s="723"/>
      <c r="N79" s="721"/>
      <c r="O79" s="722"/>
      <c r="P79" s="722"/>
      <c r="Q79" s="722"/>
      <c r="R79" s="722"/>
      <c r="S79" s="723"/>
    </row>
    <row r="80" spans="1:25">
      <c r="D80" s="721"/>
      <c r="E80" s="722"/>
      <c r="F80" s="722"/>
      <c r="G80" s="722"/>
      <c r="H80" s="722"/>
      <c r="I80" s="723"/>
      <c r="N80" s="721"/>
      <c r="O80" s="722"/>
      <c r="P80" s="722"/>
      <c r="Q80" s="722"/>
      <c r="R80" s="722"/>
      <c r="S80" s="723"/>
    </row>
    <row r="81" spans="1:25">
      <c r="D81" s="724"/>
      <c r="E81" s="725"/>
      <c r="F81" s="725"/>
      <c r="G81" s="725"/>
      <c r="H81" s="725"/>
      <c r="I81" s="726"/>
      <c r="N81" s="724"/>
      <c r="O81" s="725"/>
      <c r="P81" s="725"/>
      <c r="Q81" s="725"/>
      <c r="R81" s="725"/>
      <c r="S81" s="726"/>
    </row>
    <row r="82" spans="1:25">
      <c r="D82" s="718" t="s">
        <v>723</v>
      </c>
      <c r="E82" s="719"/>
      <c r="F82" s="719"/>
      <c r="G82" s="719"/>
      <c r="H82" s="719"/>
      <c r="I82" s="720"/>
      <c r="N82" s="718" t="s">
        <v>723</v>
      </c>
      <c r="O82" s="719"/>
      <c r="P82" s="719"/>
      <c r="Q82" s="719"/>
      <c r="R82" s="719"/>
      <c r="S82" s="720"/>
    </row>
    <row r="83" spans="1:25">
      <c r="D83" s="721"/>
      <c r="E83" s="722"/>
      <c r="F83" s="722"/>
      <c r="G83" s="722"/>
      <c r="H83" s="722"/>
      <c r="I83" s="723"/>
      <c r="N83" s="721"/>
      <c r="O83" s="722"/>
      <c r="P83" s="722"/>
      <c r="Q83" s="722"/>
      <c r="R83" s="722"/>
      <c r="S83" s="723"/>
    </row>
    <row r="84" spans="1:25">
      <c r="D84" s="721"/>
      <c r="E84" s="722"/>
      <c r="F84" s="722"/>
      <c r="G84" s="722"/>
      <c r="H84" s="722"/>
      <c r="I84" s="723"/>
      <c r="N84" s="721"/>
      <c r="O84" s="722"/>
      <c r="P84" s="722"/>
      <c r="Q84" s="722"/>
      <c r="R84" s="722"/>
      <c r="S84" s="723"/>
    </row>
    <row r="85" spans="1:25">
      <c r="D85" s="721"/>
      <c r="E85" s="722"/>
      <c r="F85" s="722"/>
      <c r="G85" s="722"/>
      <c r="H85" s="722"/>
      <c r="I85" s="723"/>
      <c r="N85" s="721"/>
      <c r="O85" s="722"/>
      <c r="P85" s="722"/>
      <c r="Q85" s="722"/>
      <c r="R85" s="722"/>
      <c r="S85" s="723"/>
    </row>
    <row r="86" spans="1:25">
      <c r="D86" s="721"/>
      <c r="E86" s="722"/>
      <c r="F86" s="722"/>
      <c r="G86" s="722"/>
      <c r="H86" s="722"/>
      <c r="I86" s="723"/>
      <c r="N86" s="721"/>
      <c r="O86" s="722"/>
      <c r="P86" s="722"/>
      <c r="Q86" s="722"/>
      <c r="R86" s="722"/>
      <c r="S86" s="723"/>
    </row>
    <row r="87" spans="1:25">
      <c r="D87" s="721"/>
      <c r="E87" s="722"/>
      <c r="F87" s="722"/>
      <c r="G87" s="722"/>
      <c r="H87" s="722"/>
      <c r="I87" s="723"/>
      <c r="N87" s="721"/>
      <c r="O87" s="722"/>
      <c r="P87" s="722"/>
      <c r="Q87" s="722"/>
      <c r="R87" s="722"/>
      <c r="S87" s="723"/>
    </row>
    <row r="88" spans="1:25">
      <c r="D88" s="721"/>
      <c r="E88" s="722"/>
      <c r="F88" s="722"/>
      <c r="G88" s="722"/>
      <c r="H88" s="722"/>
      <c r="I88" s="723"/>
      <c r="N88" s="721"/>
      <c r="O88" s="722"/>
      <c r="P88" s="722"/>
      <c r="Q88" s="722"/>
      <c r="R88" s="722"/>
      <c r="S88" s="723"/>
    </row>
    <row r="89" spans="1:25">
      <c r="D89" s="721"/>
      <c r="E89" s="722"/>
      <c r="F89" s="722"/>
      <c r="G89" s="722"/>
      <c r="H89" s="722"/>
      <c r="I89" s="723"/>
      <c r="N89" s="721"/>
      <c r="O89" s="722"/>
      <c r="P89" s="722"/>
      <c r="Q89" s="722"/>
      <c r="R89" s="722"/>
      <c r="S89" s="723"/>
    </row>
    <row r="90" spans="1:25">
      <c r="D90" s="721"/>
      <c r="E90" s="722"/>
      <c r="F90" s="722"/>
      <c r="G90" s="722"/>
      <c r="H90" s="722"/>
      <c r="I90" s="723"/>
      <c r="N90" s="721"/>
      <c r="O90" s="722"/>
      <c r="P90" s="722"/>
      <c r="Q90" s="722"/>
      <c r="R90" s="722"/>
      <c r="S90" s="723"/>
    </row>
    <row r="91" spans="1:25">
      <c r="D91" s="724"/>
      <c r="E91" s="725"/>
      <c r="F91" s="725"/>
      <c r="G91" s="725"/>
      <c r="H91" s="725"/>
      <c r="I91" s="726"/>
      <c r="N91" s="724"/>
      <c r="O91" s="725"/>
      <c r="P91" s="725"/>
      <c r="Q91" s="725"/>
      <c r="R91" s="725"/>
      <c r="S91" s="726"/>
    </row>
    <row r="92" spans="1:25" ht="13" thickBot="1"/>
    <row r="93" spans="1:25" ht="18">
      <c r="A93" s="687" t="s">
        <v>614</v>
      </c>
      <c r="B93" s="687" t="s">
        <v>730</v>
      </c>
      <c r="C93" s="688" t="s">
        <v>616</v>
      </c>
      <c r="D93" s="689" t="s">
        <v>617</v>
      </c>
      <c r="E93" s="690" t="e">
        <v>#REF!</v>
      </c>
      <c r="F93" s="690"/>
      <c r="G93" s="690"/>
      <c r="H93" s="686" t="s">
        <v>721</v>
      </c>
      <c r="I93" s="701" t="s">
        <v>666</v>
      </c>
      <c r="K93" s="687" t="s">
        <v>614</v>
      </c>
      <c r="L93" s="687" t="s">
        <v>730</v>
      </c>
      <c r="M93" s="688" t="s">
        <v>616</v>
      </c>
      <c r="N93" s="689" t="s">
        <v>617</v>
      </c>
      <c r="O93" s="690" t="e">
        <v>#REF!</v>
      </c>
      <c r="P93" s="690"/>
      <c r="Q93" s="690"/>
      <c r="R93" s="686" t="s">
        <v>721</v>
      </c>
      <c r="S93" s="701" t="s">
        <v>666</v>
      </c>
    </row>
    <row r="94" spans="1:25" ht="25">
      <c r="A94" s="691" t="str">
        <f>+A28</f>
        <v>LIQUIDITA'</v>
      </c>
      <c r="B94" s="691" t="str">
        <f t="shared" ref="B94:D94" si="4">+B28</f>
        <v>POSIZIONE FINANZIARIA NETTA</v>
      </c>
      <c r="C94" s="691">
        <f t="shared" si="4"/>
        <v>0</v>
      </c>
      <c r="D94" s="691" t="str">
        <f t="shared" si="4"/>
        <v>PFN</v>
      </c>
      <c r="E94" s="707" cm="1">
        <f t="array" aca="1" ref="E94:G94" ca="1">+OFFSET(INDIRECT(MID(_xlfn.FORMULATEXT(D94),3,3)),$N$6,$O$6,$N$7,$O$7)</f>
        <v>-3429834</v>
      </c>
      <c r="F94" s="696">
        <f ca="1"/>
        <v>-3555010</v>
      </c>
      <c r="G94" s="696">
        <f ca="1"/>
        <v>-3533344</v>
      </c>
      <c r="H94" s="693">
        <v>0.06</v>
      </c>
      <c r="I94" s="702" t="str">
        <f ca="1">+IF(AVERAGE(E94:G94)&gt;=U95,V95,IF(AVERAGE(E94:G94)&gt;=U96,V96,V97))</f>
        <v>🥲</v>
      </c>
      <c r="K94" s="697" t="str">
        <f>+A29</f>
        <v>EFFICIENZA</v>
      </c>
      <c r="L94" s="697" t="str">
        <f t="shared" ref="L94:N94" si="5">+B29</f>
        <v>RENDIMENTO PERSONALE</v>
      </c>
      <c r="M94" s="697" t="str">
        <f t="shared" si="5"/>
        <v>RICAVI/COSTO PERSONALE</v>
      </c>
      <c r="N94" s="697" t="str">
        <f t="shared" si="5"/>
        <v>R/COSTO PER</v>
      </c>
      <c r="O94" s="707" cm="1">
        <f t="array" aca="1" ref="O94:Q94" ca="1">+OFFSET(INDIRECT(MID(_xlfn.FORMULATEXT(N94),3,3)),$N$6,$O$6,$N$7,$O$7)</f>
        <v>6.5903520228404808</v>
      </c>
      <c r="P94" s="699">
        <f ca="1"/>
        <v>6.8584392731673285</v>
      </c>
      <c r="Q94" s="699">
        <f ca="1"/>
        <v>7.0818394982190682</v>
      </c>
      <c r="R94" s="693">
        <v>0.06</v>
      </c>
      <c r="S94" s="702" t="str">
        <f ca="1">+IF(AVERAGE(O94:Q94)&gt;=X95,Y95,IF(AVERAGE(O94:Q94)&gt;=X96,Y96,Y97))</f>
        <v xml:space="preserve">😄 </v>
      </c>
    </row>
    <row r="95" spans="1:25" ht="28">
      <c r="C95" s="1"/>
      <c r="D95" s="718" t="s">
        <v>722</v>
      </c>
      <c r="E95" s="719"/>
      <c r="F95" s="719"/>
      <c r="G95" s="719"/>
      <c r="H95" s="719"/>
      <c r="I95" s="720"/>
      <c r="M95" s="1"/>
      <c r="N95" s="718" t="s">
        <v>722</v>
      </c>
      <c r="O95" s="719"/>
      <c r="P95" s="719"/>
      <c r="Q95" s="719"/>
      <c r="R95" s="719"/>
      <c r="S95" s="720"/>
      <c r="U95" s="11">
        <v>0.1</v>
      </c>
      <c r="V95" s="694" t="s">
        <v>724</v>
      </c>
      <c r="X95" s="11">
        <v>0.12</v>
      </c>
      <c r="Y95" s="694" t="s">
        <v>724</v>
      </c>
    </row>
    <row r="96" spans="1:25" ht="28">
      <c r="D96" s="721"/>
      <c r="E96" s="722"/>
      <c r="F96" s="722"/>
      <c r="G96" s="722"/>
      <c r="H96" s="722"/>
      <c r="I96" s="723"/>
      <c r="N96" s="721"/>
      <c r="O96" s="722"/>
      <c r="P96" s="722"/>
      <c r="Q96" s="722"/>
      <c r="R96" s="722"/>
      <c r="S96" s="723"/>
      <c r="U96" s="11">
        <v>0.05</v>
      </c>
      <c r="V96" s="694" t="s">
        <v>726</v>
      </c>
      <c r="X96" s="11">
        <v>0.06</v>
      </c>
      <c r="Y96" s="694" t="s">
        <v>726</v>
      </c>
    </row>
    <row r="97" spans="4:25" ht="28">
      <c r="D97" s="721"/>
      <c r="E97" s="722"/>
      <c r="F97" s="722"/>
      <c r="G97" s="722"/>
      <c r="H97" s="722"/>
      <c r="I97" s="723"/>
      <c r="N97" s="721"/>
      <c r="O97" s="722"/>
      <c r="P97" s="722"/>
      <c r="Q97" s="722"/>
      <c r="R97" s="722"/>
      <c r="S97" s="723"/>
      <c r="V97" s="694" t="s">
        <v>725</v>
      </c>
      <c r="Y97" s="694" t="s">
        <v>725</v>
      </c>
    </row>
    <row r="98" spans="4:25">
      <c r="D98" s="721"/>
      <c r="E98" s="722"/>
      <c r="F98" s="722"/>
      <c r="G98" s="722"/>
      <c r="H98" s="722"/>
      <c r="I98" s="723"/>
      <c r="N98" s="721"/>
      <c r="O98" s="722"/>
      <c r="P98" s="722"/>
      <c r="Q98" s="722"/>
      <c r="R98" s="722"/>
      <c r="S98" s="723"/>
    </row>
    <row r="99" spans="4:25">
      <c r="D99" s="721"/>
      <c r="E99" s="722"/>
      <c r="F99" s="722"/>
      <c r="G99" s="722"/>
      <c r="H99" s="722"/>
      <c r="I99" s="723"/>
      <c r="N99" s="721"/>
      <c r="O99" s="722"/>
      <c r="P99" s="722"/>
      <c r="Q99" s="722"/>
      <c r="R99" s="722"/>
      <c r="S99" s="723"/>
    </row>
    <row r="100" spans="4:25">
      <c r="D100" s="721"/>
      <c r="E100" s="722"/>
      <c r="F100" s="722"/>
      <c r="G100" s="722"/>
      <c r="H100" s="722"/>
      <c r="I100" s="723"/>
      <c r="N100" s="721"/>
      <c r="O100" s="722"/>
      <c r="P100" s="722"/>
      <c r="Q100" s="722"/>
      <c r="R100" s="722"/>
      <c r="S100" s="723"/>
    </row>
    <row r="101" spans="4:25">
      <c r="D101" s="721"/>
      <c r="E101" s="722"/>
      <c r="F101" s="722"/>
      <c r="G101" s="722"/>
      <c r="H101" s="722"/>
      <c r="I101" s="723"/>
      <c r="N101" s="721"/>
      <c r="O101" s="722"/>
      <c r="P101" s="722"/>
      <c r="Q101" s="722"/>
      <c r="R101" s="722"/>
      <c r="S101" s="723"/>
    </row>
    <row r="102" spans="4:25">
      <c r="D102" s="721"/>
      <c r="E102" s="722"/>
      <c r="F102" s="722"/>
      <c r="G102" s="722"/>
      <c r="H102" s="722"/>
      <c r="I102" s="723"/>
      <c r="N102" s="721"/>
      <c r="O102" s="722"/>
      <c r="P102" s="722"/>
      <c r="Q102" s="722"/>
      <c r="R102" s="722"/>
      <c r="S102" s="723"/>
    </row>
    <row r="103" spans="4:25">
      <c r="D103" s="724"/>
      <c r="E103" s="725"/>
      <c r="F103" s="725"/>
      <c r="G103" s="725"/>
      <c r="H103" s="725"/>
      <c r="I103" s="726"/>
      <c r="N103" s="724"/>
      <c r="O103" s="725"/>
      <c r="P103" s="725"/>
      <c r="Q103" s="725"/>
      <c r="R103" s="725"/>
      <c r="S103" s="726"/>
    </row>
    <row r="104" spans="4:25">
      <c r="D104" s="718" t="s">
        <v>723</v>
      </c>
      <c r="E104" s="719"/>
      <c r="F104" s="719"/>
      <c r="G104" s="719"/>
      <c r="H104" s="719"/>
      <c r="I104" s="720"/>
      <c r="N104" s="718" t="s">
        <v>723</v>
      </c>
      <c r="O104" s="719"/>
      <c r="P104" s="719"/>
      <c r="Q104" s="719"/>
      <c r="R104" s="719"/>
      <c r="S104" s="720"/>
    </row>
    <row r="105" spans="4:25">
      <c r="D105" s="721"/>
      <c r="E105" s="722"/>
      <c r="F105" s="722"/>
      <c r="G105" s="722"/>
      <c r="H105" s="722"/>
      <c r="I105" s="723"/>
      <c r="N105" s="721"/>
      <c r="O105" s="722"/>
      <c r="P105" s="722"/>
      <c r="Q105" s="722"/>
      <c r="R105" s="722"/>
      <c r="S105" s="723"/>
    </row>
    <row r="106" spans="4:25">
      <c r="D106" s="721"/>
      <c r="E106" s="722"/>
      <c r="F106" s="722"/>
      <c r="G106" s="722"/>
      <c r="H106" s="722"/>
      <c r="I106" s="723"/>
      <c r="N106" s="721"/>
      <c r="O106" s="722"/>
      <c r="P106" s="722"/>
      <c r="Q106" s="722"/>
      <c r="R106" s="722"/>
      <c r="S106" s="723"/>
    </row>
    <row r="107" spans="4:25">
      <c r="D107" s="721"/>
      <c r="E107" s="722"/>
      <c r="F107" s="722"/>
      <c r="G107" s="722"/>
      <c r="H107" s="722"/>
      <c r="I107" s="723"/>
      <c r="N107" s="721"/>
      <c r="O107" s="722"/>
      <c r="P107" s="722"/>
      <c r="Q107" s="722"/>
      <c r="R107" s="722"/>
      <c r="S107" s="723"/>
    </row>
    <row r="108" spans="4:25">
      <c r="D108" s="721"/>
      <c r="E108" s="722"/>
      <c r="F108" s="722"/>
      <c r="G108" s="722"/>
      <c r="H108" s="722"/>
      <c r="I108" s="723"/>
      <c r="N108" s="721"/>
      <c r="O108" s="722"/>
      <c r="P108" s="722"/>
      <c r="Q108" s="722"/>
      <c r="R108" s="722"/>
      <c r="S108" s="723"/>
    </row>
    <row r="109" spans="4:25">
      <c r="D109" s="721"/>
      <c r="E109" s="722"/>
      <c r="F109" s="722"/>
      <c r="G109" s="722"/>
      <c r="H109" s="722"/>
      <c r="I109" s="723"/>
      <c r="N109" s="721"/>
      <c r="O109" s="722"/>
      <c r="P109" s="722"/>
      <c r="Q109" s="722"/>
      <c r="R109" s="722"/>
      <c r="S109" s="723"/>
    </row>
    <row r="110" spans="4:25">
      <c r="D110" s="721"/>
      <c r="E110" s="722"/>
      <c r="F110" s="722"/>
      <c r="G110" s="722"/>
      <c r="H110" s="722"/>
      <c r="I110" s="723"/>
      <c r="N110" s="721"/>
      <c r="O110" s="722"/>
      <c r="P110" s="722"/>
      <c r="Q110" s="722"/>
      <c r="R110" s="722"/>
      <c r="S110" s="723"/>
    </row>
    <row r="111" spans="4:25">
      <c r="D111" s="721"/>
      <c r="E111" s="722"/>
      <c r="F111" s="722"/>
      <c r="G111" s="722"/>
      <c r="H111" s="722"/>
      <c r="I111" s="723"/>
      <c r="N111" s="721"/>
      <c r="O111" s="722"/>
      <c r="P111" s="722"/>
      <c r="Q111" s="722"/>
      <c r="R111" s="722"/>
      <c r="S111" s="723"/>
    </row>
    <row r="112" spans="4:25">
      <c r="D112" s="721"/>
      <c r="E112" s="722"/>
      <c r="F112" s="722"/>
      <c r="G112" s="722"/>
      <c r="H112" s="722"/>
      <c r="I112" s="723"/>
      <c r="N112" s="721"/>
      <c r="O112" s="722"/>
      <c r="P112" s="722"/>
      <c r="Q112" s="722"/>
      <c r="R112" s="722"/>
      <c r="S112" s="723"/>
    </row>
    <row r="113" spans="1:25">
      <c r="D113" s="724"/>
      <c r="E113" s="725"/>
      <c r="F113" s="725"/>
      <c r="G113" s="725"/>
      <c r="H113" s="725"/>
      <c r="I113" s="726"/>
      <c r="N113" s="724"/>
      <c r="O113" s="725"/>
      <c r="P113" s="725"/>
      <c r="Q113" s="725"/>
      <c r="R113" s="725"/>
      <c r="S113" s="726"/>
    </row>
    <row r="116" spans="1:25" ht="13" thickBot="1"/>
    <row r="117" spans="1:25" ht="18">
      <c r="A117" s="687" t="s">
        <v>614</v>
      </c>
      <c r="B117" s="687" t="s">
        <v>730</v>
      </c>
      <c r="C117" s="688" t="s">
        <v>616</v>
      </c>
      <c r="D117" s="689" t="s">
        <v>617</v>
      </c>
      <c r="E117" s="690" t="e">
        <v>#REF!</v>
      </c>
      <c r="F117" s="690"/>
      <c r="G117" s="690"/>
      <c r="H117" s="686" t="s">
        <v>721</v>
      </c>
      <c r="I117" s="701" t="s">
        <v>666</v>
      </c>
      <c r="K117" s="687" t="s">
        <v>614</v>
      </c>
      <c r="L117" s="687" t="s">
        <v>730</v>
      </c>
      <c r="M117" s="688" t="s">
        <v>616</v>
      </c>
      <c r="N117" s="689" t="s">
        <v>617</v>
      </c>
      <c r="O117" s="690" t="e">
        <v>#REF!</v>
      </c>
      <c r="P117" s="690"/>
      <c r="Q117" s="690"/>
      <c r="R117" s="686" t="s">
        <v>721</v>
      </c>
      <c r="S117" s="701" t="s">
        <v>666</v>
      </c>
    </row>
    <row r="118" spans="1:25" ht="26">
      <c r="A118" s="697" t="str">
        <f>+A30</f>
        <v>SOLIDITA'</v>
      </c>
      <c r="B118" s="697" t="str">
        <f t="shared" ref="B118:D118" si="6">+B30</f>
        <v>INDEBITAMENTO</v>
      </c>
      <c r="C118" s="697" t="str">
        <f t="shared" si="6"/>
        <v>MEZZIDI TERZI/MEZZI PROPRI</v>
      </c>
      <c r="D118" s="697" t="str">
        <f t="shared" si="6"/>
        <v>MT/MP</v>
      </c>
      <c r="E118" s="707" cm="1">
        <f t="array" aca="1" ref="E118:G118" ca="1">+OFFSET(INDIRECT(MID(_xlfn.FORMULATEXT(D118),3,3)),$N$6,$O$6,$N$7,$O$7)</f>
        <v>1.3337426906693999</v>
      </c>
      <c r="F118" s="696">
        <f ca="1"/>
        <v>1.3822997189512145</v>
      </c>
      <c r="G118" s="696">
        <f ca="1"/>
        <v>1.3572537713711028</v>
      </c>
      <c r="H118" s="693">
        <v>0.06</v>
      </c>
      <c r="I118" s="702" t="str">
        <f ca="1">+IF(AVERAGE(E118:G118)&gt;=U119,V119,IF(AVERAGE(E118:G118)&gt;=U120,V120,V121))</f>
        <v xml:space="preserve">😄 </v>
      </c>
      <c r="K118" s="697" t="str">
        <f>+A31</f>
        <v>VENDITE</v>
      </c>
      <c r="L118" s="697" t="str">
        <f t="shared" ref="L118:N118" si="7">+B31</f>
        <v>FATTURATO TOTALE</v>
      </c>
      <c r="M118" s="697" t="str">
        <f t="shared" si="7"/>
        <v>RICAVI NETTI</v>
      </c>
      <c r="N118" s="697" t="str">
        <f t="shared" si="7"/>
        <v>FATTURATO</v>
      </c>
      <c r="O118" s="707" cm="1">
        <f t="array" aca="1" ref="O118:Q118" ca="1">+OFFSET(INDIRECT(MID(_xlfn.FORMULATEXT(N118),3,3)),$N$6,$O$6,$N$7,$O$7)</f>
        <v>5207538</v>
      </c>
      <c r="P118" s="696">
        <f ca="1"/>
        <v>5554067</v>
      </c>
      <c r="Q118" s="696">
        <f ca="1"/>
        <v>5946826</v>
      </c>
      <c r="R118" s="693">
        <v>0.06</v>
      </c>
      <c r="S118" s="702" t="str">
        <f ca="1">+IF(AVERAGE(O118:Q118)&gt;=X119,Y119,IF(AVERAGE(O118:Q118)&gt;=X120,Y120,Y121))</f>
        <v xml:space="preserve">😄 </v>
      </c>
    </row>
    <row r="119" spans="1:25" ht="28">
      <c r="D119" s="718" t="s">
        <v>722</v>
      </c>
      <c r="E119" s="719"/>
      <c r="F119" s="719"/>
      <c r="G119" s="719"/>
      <c r="H119" s="719"/>
      <c r="I119" s="720"/>
      <c r="M119" s="1"/>
      <c r="N119" s="718" t="s">
        <v>722</v>
      </c>
      <c r="O119" s="719"/>
      <c r="P119" s="719"/>
      <c r="Q119" s="719"/>
      <c r="R119" s="719"/>
      <c r="S119" s="720"/>
      <c r="U119" s="11">
        <v>0.1</v>
      </c>
      <c r="V119" s="694" t="s">
        <v>724</v>
      </c>
      <c r="X119" s="11">
        <v>0.12</v>
      </c>
      <c r="Y119" s="694" t="s">
        <v>724</v>
      </c>
    </row>
    <row r="120" spans="1:25" ht="28">
      <c r="D120" s="721"/>
      <c r="E120" s="722"/>
      <c r="F120" s="722"/>
      <c r="G120" s="722"/>
      <c r="H120" s="722"/>
      <c r="I120" s="723"/>
      <c r="N120" s="721"/>
      <c r="O120" s="722"/>
      <c r="P120" s="722"/>
      <c r="Q120" s="722"/>
      <c r="R120" s="722"/>
      <c r="S120" s="723"/>
      <c r="U120" s="11">
        <v>0.05</v>
      </c>
      <c r="V120" s="694" t="s">
        <v>726</v>
      </c>
      <c r="X120" s="11">
        <v>0.06</v>
      </c>
      <c r="Y120" s="694" t="s">
        <v>726</v>
      </c>
    </row>
    <row r="121" spans="1:25" ht="28">
      <c r="D121" s="721"/>
      <c r="E121" s="722"/>
      <c r="F121" s="722"/>
      <c r="G121" s="722"/>
      <c r="H121" s="722"/>
      <c r="I121" s="723"/>
      <c r="N121" s="721"/>
      <c r="O121" s="722"/>
      <c r="P121" s="722"/>
      <c r="Q121" s="722"/>
      <c r="R121" s="722"/>
      <c r="S121" s="723"/>
      <c r="V121" s="694" t="s">
        <v>725</v>
      </c>
      <c r="Y121" s="694" t="s">
        <v>725</v>
      </c>
    </row>
    <row r="122" spans="1:25">
      <c r="D122" s="721"/>
      <c r="E122" s="722"/>
      <c r="F122" s="722"/>
      <c r="G122" s="722"/>
      <c r="H122" s="722"/>
      <c r="I122" s="723"/>
      <c r="N122" s="721"/>
      <c r="O122" s="722"/>
      <c r="P122" s="722"/>
      <c r="Q122" s="722"/>
      <c r="R122" s="722"/>
      <c r="S122" s="723"/>
    </row>
    <row r="123" spans="1:25">
      <c r="D123" s="721"/>
      <c r="E123" s="722"/>
      <c r="F123" s="722"/>
      <c r="G123" s="722"/>
      <c r="H123" s="722"/>
      <c r="I123" s="723"/>
      <c r="N123" s="721"/>
      <c r="O123" s="722"/>
      <c r="P123" s="722"/>
      <c r="Q123" s="722"/>
      <c r="R123" s="722"/>
      <c r="S123" s="723"/>
    </row>
    <row r="124" spans="1:25">
      <c r="D124" s="721"/>
      <c r="E124" s="722"/>
      <c r="F124" s="722"/>
      <c r="G124" s="722"/>
      <c r="H124" s="722"/>
      <c r="I124" s="723"/>
      <c r="N124" s="721"/>
      <c r="O124" s="722"/>
      <c r="P124" s="722"/>
      <c r="Q124" s="722"/>
      <c r="R124" s="722"/>
      <c r="S124" s="723"/>
    </row>
    <row r="125" spans="1:25">
      <c r="D125" s="721"/>
      <c r="E125" s="722"/>
      <c r="F125" s="722"/>
      <c r="G125" s="722"/>
      <c r="H125" s="722"/>
      <c r="I125" s="723"/>
      <c r="N125" s="721"/>
      <c r="O125" s="722"/>
      <c r="P125" s="722"/>
      <c r="Q125" s="722"/>
      <c r="R125" s="722"/>
      <c r="S125" s="723"/>
    </row>
    <row r="126" spans="1:25">
      <c r="D126" s="721"/>
      <c r="E126" s="722"/>
      <c r="F126" s="722"/>
      <c r="G126" s="722"/>
      <c r="H126" s="722"/>
      <c r="I126" s="723"/>
      <c r="N126" s="721"/>
      <c r="O126" s="722"/>
      <c r="P126" s="722"/>
      <c r="Q126" s="722"/>
      <c r="R126" s="722"/>
      <c r="S126" s="723"/>
    </row>
    <row r="127" spans="1:25">
      <c r="D127" s="724"/>
      <c r="E127" s="725"/>
      <c r="F127" s="725"/>
      <c r="G127" s="725"/>
      <c r="H127" s="725"/>
      <c r="I127" s="726"/>
      <c r="N127" s="724"/>
      <c r="O127" s="725"/>
      <c r="P127" s="725"/>
      <c r="Q127" s="725"/>
      <c r="R127" s="725"/>
      <c r="S127" s="726"/>
    </row>
    <row r="128" spans="1:25">
      <c r="D128" s="718" t="s">
        <v>723</v>
      </c>
      <c r="E128" s="719"/>
      <c r="F128" s="719"/>
      <c r="G128" s="719"/>
      <c r="H128" s="719"/>
      <c r="I128" s="720"/>
      <c r="N128" s="718" t="s">
        <v>723</v>
      </c>
      <c r="O128" s="719"/>
      <c r="P128" s="719"/>
      <c r="Q128" s="719"/>
      <c r="R128" s="719"/>
      <c r="S128" s="720"/>
    </row>
    <row r="129" spans="1:25">
      <c r="D129" s="721"/>
      <c r="E129" s="722"/>
      <c r="F129" s="722"/>
      <c r="G129" s="722"/>
      <c r="H129" s="722"/>
      <c r="I129" s="723"/>
      <c r="N129" s="721"/>
      <c r="O129" s="722"/>
      <c r="P129" s="722"/>
      <c r="Q129" s="722"/>
      <c r="R129" s="722"/>
      <c r="S129" s="723"/>
    </row>
    <row r="130" spans="1:25">
      <c r="D130" s="721"/>
      <c r="E130" s="722"/>
      <c r="F130" s="722"/>
      <c r="G130" s="722"/>
      <c r="H130" s="722"/>
      <c r="I130" s="723"/>
      <c r="N130" s="721"/>
      <c r="O130" s="722"/>
      <c r="P130" s="722"/>
      <c r="Q130" s="722"/>
      <c r="R130" s="722"/>
      <c r="S130" s="723"/>
    </row>
    <row r="131" spans="1:25">
      <c r="D131" s="721"/>
      <c r="E131" s="722"/>
      <c r="F131" s="722"/>
      <c r="G131" s="722"/>
      <c r="H131" s="722"/>
      <c r="I131" s="723"/>
      <c r="N131" s="721"/>
      <c r="O131" s="722"/>
      <c r="P131" s="722"/>
      <c r="Q131" s="722"/>
      <c r="R131" s="722"/>
      <c r="S131" s="723"/>
    </row>
    <row r="132" spans="1:25">
      <c r="D132" s="721"/>
      <c r="E132" s="722"/>
      <c r="F132" s="722"/>
      <c r="G132" s="722"/>
      <c r="H132" s="722"/>
      <c r="I132" s="723"/>
      <c r="N132" s="721"/>
      <c r="O132" s="722"/>
      <c r="P132" s="722"/>
      <c r="Q132" s="722"/>
      <c r="R132" s="722"/>
      <c r="S132" s="723"/>
    </row>
    <row r="133" spans="1:25">
      <c r="D133" s="721"/>
      <c r="E133" s="722"/>
      <c r="F133" s="722"/>
      <c r="G133" s="722"/>
      <c r="H133" s="722"/>
      <c r="I133" s="723"/>
      <c r="N133" s="721"/>
      <c r="O133" s="722"/>
      <c r="P133" s="722"/>
      <c r="Q133" s="722"/>
      <c r="R133" s="722"/>
      <c r="S133" s="723"/>
    </row>
    <row r="134" spans="1:25">
      <c r="D134" s="721"/>
      <c r="E134" s="722"/>
      <c r="F134" s="722"/>
      <c r="G134" s="722"/>
      <c r="H134" s="722"/>
      <c r="I134" s="723"/>
      <c r="N134" s="721"/>
      <c r="O134" s="722"/>
      <c r="P134" s="722"/>
      <c r="Q134" s="722"/>
      <c r="R134" s="722"/>
      <c r="S134" s="723"/>
    </row>
    <row r="135" spans="1:25">
      <c r="D135" s="721"/>
      <c r="E135" s="722"/>
      <c r="F135" s="722"/>
      <c r="G135" s="722"/>
      <c r="H135" s="722"/>
      <c r="I135" s="723"/>
      <c r="N135" s="721"/>
      <c r="O135" s="722"/>
      <c r="P135" s="722"/>
      <c r="Q135" s="722"/>
      <c r="R135" s="722"/>
      <c r="S135" s="723"/>
    </row>
    <row r="136" spans="1:25">
      <c r="D136" s="721"/>
      <c r="E136" s="722"/>
      <c r="F136" s="722"/>
      <c r="G136" s="722"/>
      <c r="H136" s="722"/>
      <c r="I136" s="723"/>
      <c r="N136" s="721"/>
      <c r="O136" s="722"/>
      <c r="P136" s="722"/>
      <c r="Q136" s="722"/>
      <c r="R136" s="722"/>
      <c r="S136" s="723"/>
    </row>
    <row r="137" spans="1:25">
      <c r="D137" s="724"/>
      <c r="E137" s="725"/>
      <c r="F137" s="725"/>
      <c r="G137" s="725"/>
      <c r="H137" s="725"/>
      <c r="I137" s="726"/>
      <c r="N137" s="724"/>
      <c r="O137" s="725"/>
      <c r="P137" s="725"/>
      <c r="Q137" s="725"/>
      <c r="R137" s="725"/>
      <c r="S137" s="726"/>
    </row>
    <row r="140" spans="1:25" ht="13" thickBot="1"/>
    <row r="141" spans="1:25" ht="18">
      <c r="A141" s="687" t="s">
        <v>614</v>
      </c>
      <c r="B141" s="687" t="s">
        <v>730</v>
      </c>
      <c r="C141" s="688" t="s">
        <v>616</v>
      </c>
      <c r="D141" s="689" t="s">
        <v>617</v>
      </c>
      <c r="E141" s="690" t="e">
        <v>#REF!</v>
      </c>
      <c r="F141" s="690"/>
      <c r="G141" s="690"/>
      <c r="H141" s="686" t="s">
        <v>721</v>
      </c>
      <c r="I141" s="701" t="s">
        <v>666</v>
      </c>
      <c r="K141" s="687" t="s">
        <v>614</v>
      </c>
      <c r="L141" s="687" t="s">
        <v>730</v>
      </c>
      <c r="M141" s="688" t="s">
        <v>616</v>
      </c>
      <c r="N141" s="689" t="s">
        <v>617</v>
      </c>
      <c r="O141" s="690" t="e">
        <v>#REF!</v>
      </c>
      <c r="P141" s="690"/>
      <c r="Q141" s="690"/>
      <c r="R141" s="686" t="s">
        <v>721</v>
      </c>
      <c r="S141" s="701" t="s">
        <v>666</v>
      </c>
    </row>
    <row r="142" spans="1:25" ht="25">
      <c r="A142" s="697" t="str">
        <f>+A32</f>
        <v>VENDITE</v>
      </c>
      <c r="B142" s="697" t="str">
        <f t="shared" ref="B142:D142" si="8">+B32</f>
        <v>TOTALE ORDINI RICEVUTI</v>
      </c>
      <c r="C142" s="697" t="str">
        <f t="shared" si="8"/>
        <v>NR ORDINI</v>
      </c>
      <c r="D142" s="697" t="str">
        <f t="shared" si="8"/>
        <v>NR ORDINI</v>
      </c>
      <c r="E142" s="707" cm="1">
        <f t="array" aca="1" ref="E142:G142" ca="1">+OFFSET(INDIRECT(MID(_xlfn.FORMULATEXT(D142),3,3)),$N$6,$O$6,$N$7,$O$7)</f>
        <v>26037.69</v>
      </c>
      <c r="F142" s="696">
        <f ca="1"/>
        <v>27770.334999999999</v>
      </c>
      <c r="G142" s="696">
        <f ca="1"/>
        <v>29734.13</v>
      </c>
      <c r="I142" s="702" t="str">
        <f ca="1">+IF(AVERAGE(E142:G142)&gt;=U143,V143,IF(AVERAGE(E142:G142)&gt;=U144,V144,V145))</f>
        <v xml:space="preserve">😄 </v>
      </c>
      <c r="K142" s="697" t="s">
        <v>678</v>
      </c>
      <c r="L142" s="691" t="s">
        <v>683</v>
      </c>
      <c r="M142" s="691" t="s">
        <v>684</v>
      </c>
      <c r="N142" s="691"/>
      <c r="O142" s="707"/>
      <c r="P142" s="696"/>
      <c r="Q142" s="696"/>
      <c r="R142" s="693"/>
      <c r="S142" s="702" t="e">
        <f>+IF(AVERAGE(O142:Q142)&gt;=X143,Y143,IF(AVERAGE(O142:Q142)&gt;=X144,Y144,Y145))</f>
        <v>#DIV/0!</v>
      </c>
    </row>
    <row r="143" spans="1:25" ht="28">
      <c r="D143" s="718" t="s">
        <v>722</v>
      </c>
      <c r="E143" s="719"/>
      <c r="F143" s="719"/>
      <c r="G143" s="719"/>
      <c r="H143" s="719"/>
      <c r="I143" s="720"/>
      <c r="M143" s="1"/>
      <c r="N143" s="718" t="s">
        <v>722</v>
      </c>
      <c r="O143" s="719"/>
      <c r="P143" s="719"/>
      <c r="Q143" s="719"/>
      <c r="R143" s="719"/>
      <c r="S143" s="720"/>
      <c r="U143" s="11">
        <v>0.1</v>
      </c>
      <c r="V143" s="694" t="s">
        <v>724</v>
      </c>
      <c r="X143" s="11">
        <v>0.12</v>
      </c>
      <c r="Y143" s="694" t="s">
        <v>724</v>
      </c>
    </row>
    <row r="144" spans="1:25" ht="28">
      <c r="D144" s="721"/>
      <c r="E144" s="722"/>
      <c r="F144" s="722"/>
      <c r="G144" s="722"/>
      <c r="H144" s="722"/>
      <c r="I144" s="723"/>
      <c r="N144" s="721"/>
      <c r="O144" s="722"/>
      <c r="P144" s="722"/>
      <c r="Q144" s="722"/>
      <c r="R144" s="722"/>
      <c r="S144" s="723"/>
      <c r="U144" s="11">
        <v>0.05</v>
      </c>
      <c r="V144" s="694" t="s">
        <v>726</v>
      </c>
      <c r="X144" s="11">
        <v>0.06</v>
      </c>
      <c r="Y144" s="694" t="s">
        <v>726</v>
      </c>
    </row>
    <row r="145" spans="4:25" ht="28">
      <c r="D145" s="721"/>
      <c r="E145" s="722"/>
      <c r="F145" s="722"/>
      <c r="G145" s="722"/>
      <c r="H145" s="722"/>
      <c r="I145" s="723"/>
      <c r="N145" s="721"/>
      <c r="O145" s="722"/>
      <c r="P145" s="722"/>
      <c r="Q145" s="722"/>
      <c r="R145" s="722"/>
      <c r="S145" s="723"/>
      <c r="V145" s="694" t="s">
        <v>725</v>
      </c>
      <c r="Y145" s="694" t="s">
        <v>725</v>
      </c>
    </row>
    <row r="146" spans="4:25">
      <c r="D146" s="721"/>
      <c r="E146" s="722"/>
      <c r="F146" s="722"/>
      <c r="G146" s="722"/>
      <c r="H146" s="722"/>
      <c r="I146" s="723"/>
      <c r="N146" s="721"/>
      <c r="O146" s="722"/>
      <c r="P146" s="722"/>
      <c r="Q146" s="722"/>
      <c r="R146" s="722"/>
      <c r="S146" s="723"/>
    </row>
    <row r="147" spans="4:25">
      <c r="D147" s="721"/>
      <c r="E147" s="722"/>
      <c r="F147" s="722"/>
      <c r="G147" s="722"/>
      <c r="H147" s="722"/>
      <c r="I147" s="723"/>
      <c r="N147" s="721"/>
      <c r="O147" s="722"/>
      <c r="P147" s="722"/>
      <c r="Q147" s="722"/>
      <c r="R147" s="722"/>
      <c r="S147" s="723"/>
    </row>
    <row r="148" spans="4:25">
      <c r="D148" s="721"/>
      <c r="E148" s="722"/>
      <c r="F148" s="722"/>
      <c r="G148" s="722"/>
      <c r="H148" s="722"/>
      <c r="I148" s="723"/>
      <c r="N148" s="721"/>
      <c r="O148" s="722"/>
      <c r="P148" s="722"/>
      <c r="Q148" s="722"/>
      <c r="R148" s="722"/>
      <c r="S148" s="723"/>
    </row>
    <row r="149" spans="4:25">
      <c r="D149" s="721"/>
      <c r="E149" s="722"/>
      <c r="F149" s="722"/>
      <c r="G149" s="722"/>
      <c r="H149" s="722"/>
      <c r="I149" s="723"/>
      <c r="N149" s="721"/>
      <c r="O149" s="722"/>
      <c r="P149" s="722"/>
      <c r="Q149" s="722"/>
      <c r="R149" s="722"/>
      <c r="S149" s="723"/>
    </row>
    <row r="150" spans="4:25">
      <c r="D150" s="721"/>
      <c r="E150" s="722"/>
      <c r="F150" s="722"/>
      <c r="G150" s="722"/>
      <c r="H150" s="722"/>
      <c r="I150" s="723"/>
      <c r="N150" s="721"/>
      <c r="O150" s="722"/>
      <c r="P150" s="722"/>
      <c r="Q150" s="722"/>
      <c r="R150" s="722"/>
      <c r="S150" s="723"/>
    </row>
    <row r="151" spans="4:25">
      <c r="D151" s="724"/>
      <c r="E151" s="725"/>
      <c r="F151" s="725"/>
      <c r="G151" s="725"/>
      <c r="H151" s="725"/>
      <c r="I151" s="726"/>
      <c r="N151" s="724"/>
      <c r="O151" s="725"/>
      <c r="P151" s="725"/>
      <c r="Q151" s="725"/>
      <c r="R151" s="725"/>
      <c r="S151" s="726"/>
    </row>
    <row r="152" spans="4:25">
      <c r="D152" s="718" t="s">
        <v>723</v>
      </c>
      <c r="E152" s="719"/>
      <c r="F152" s="719"/>
      <c r="G152" s="719"/>
      <c r="H152" s="719"/>
      <c r="I152" s="720"/>
      <c r="N152" s="718" t="s">
        <v>723</v>
      </c>
      <c r="O152" s="719"/>
      <c r="P152" s="719"/>
      <c r="Q152" s="719"/>
      <c r="R152" s="719"/>
      <c r="S152" s="720"/>
    </row>
    <row r="153" spans="4:25">
      <c r="D153" s="721"/>
      <c r="E153" s="722"/>
      <c r="F153" s="722"/>
      <c r="G153" s="722"/>
      <c r="H153" s="722"/>
      <c r="I153" s="723"/>
      <c r="N153" s="721"/>
      <c r="O153" s="722"/>
      <c r="P153" s="722"/>
      <c r="Q153" s="722"/>
      <c r="R153" s="722"/>
      <c r="S153" s="723"/>
    </row>
    <row r="154" spans="4:25">
      <c r="D154" s="721"/>
      <c r="E154" s="722"/>
      <c r="F154" s="722"/>
      <c r="G154" s="722"/>
      <c r="H154" s="722"/>
      <c r="I154" s="723"/>
      <c r="N154" s="721"/>
      <c r="O154" s="722"/>
      <c r="P154" s="722"/>
      <c r="Q154" s="722"/>
      <c r="R154" s="722"/>
      <c r="S154" s="723"/>
    </row>
    <row r="155" spans="4:25">
      <c r="D155" s="721"/>
      <c r="E155" s="722"/>
      <c r="F155" s="722"/>
      <c r="G155" s="722"/>
      <c r="H155" s="722"/>
      <c r="I155" s="723"/>
      <c r="N155" s="721"/>
      <c r="O155" s="722"/>
      <c r="P155" s="722"/>
      <c r="Q155" s="722"/>
      <c r="R155" s="722"/>
      <c r="S155" s="723"/>
    </row>
    <row r="156" spans="4:25">
      <c r="D156" s="721"/>
      <c r="E156" s="722"/>
      <c r="F156" s="722"/>
      <c r="G156" s="722"/>
      <c r="H156" s="722"/>
      <c r="I156" s="723"/>
      <c r="N156" s="721"/>
      <c r="O156" s="722"/>
      <c r="P156" s="722"/>
      <c r="Q156" s="722"/>
      <c r="R156" s="722"/>
      <c r="S156" s="723"/>
    </row>
    <row r="157" spans="4:25">
      <c r="D157" s="721"/>
      <c r="E157" s="722"/>
      <c r="F157" s="722"/>
      <c r="G157" s="722"/>
      <c r="H157" s="722"/>
      <c r="I157" s="723"/>
      <c r="N157" s="721"/>
      <c r="O157" s="722"/>
      <c r="P157" s="722"/>
      <c r="Q157" s="722"/>
      <c r="R157" s="722"/>
      <c r="S157" s="723"/>
    </row>
    <row r="158" spans="4:25">
      <c r="D158" s="721"/>
      <c r="E158" s="722"/>
      <c r="F158" s="722"/>
      <c r="G158" s="722"/>
      <c r="H158" s="722"/>
      <c r="I158" s="723"/>
      <c r="N158" s="721"/>
      <c r="O158" s="722"/>
      <c r="P158" s="722"/>
      <c r="Q158" s="722"/>
      <c r="R158" s="722"/>
      <c r="S158" s="723"/>
    </row>
    <row r="159" spans="4:25">
      <c r="D159" s="721"/>
      <c r="E159" s="722"/>
      <c r="F159" s="722"/>
      <c r="G159" s="722"/>
      <c r="H159" s="722"/>
      <c r="I159" s="723"/>
      <c r="N159" s="721"/>
      <c r="O159" s="722"/>
      <c r="P159" s="722"/>
      <c r="Q159" s="722"/>
      <c r="R159" s="722"/>
      <c r="S159" s="723"/>
    </row>
    <row r="160" spans="4:25">
      <c r="D160" s="721"/>
      <c r="E160" s="722"/>
      <c r="F160" s="722"/>
      <c r="G160" s="722"/>
      <c r="H160" s="722"/>
      <c r="I160" s="723"/>
      <c r="N160" s="721"/>
      <c r="O160" s="722"/>
      <c r="P160" s="722"/>
      <c r="Q160" s="722"/>
      <c r="R160" s="722"/>
      <c r="S160" s="723"/>
    </row>
    <row r="161" spans="4:19">
      <c r="D161" s="724"/>
      <c r="E161" s="725"/>
      <c r="F161" s="725"/>
      <c r="G161" s="725"/>
      <c r="H161" s="725"/>
      <c r="I161" s="726"/>
      <c r="N161" s="724"/>
      <c r="O161" s="725"/>
      <c r="P161" s="725"/>
      <c r="Q161" s="725"/>
      <c r="R161" s="725"/>
      <c r="S161" s="726"/>
    </row>
  </sheetData>
  <mergeCells count="20">
    <mergeCell ref="D152:I161"/>
    <mergeCell ref="N152:S161"/>
    <mergeCell ref="D119:I127"/>
    <mergeCell ref="N119:S127"/>
    <mergeCell ref="D128:I137"/>
    <mergeCell ref="N128:S137"/>
    <mergeCell ref="D143:I151"/>
    <mergeCell ref="N143:S151"/>
    <mergeCell ref="D82:I91"/>
    <mergeCell ref="N82:S91"/>
    <mergeCell ref="D95:I103"/>
    <mergeCell ref="N95:S103"/>
    <mergeCell ref="D104:I113"/>
    <mergeCell ref="N104:S113"/>
    <mergeCell ref="D49:I57"/>
    <mergeCell ref="N49:S57"/>
    <mergeCell ref="D58:I67"/>
    <mergeCell ref="N58:S67"/>
    <mergeCell ref="D73:I81"/>
    <mergeCell ref="N73:S81"/>
  </mergeCells>
  <phoneticPr fontId="99" type="noConversion"/>
  <hyperlinks>
    <hyperlink ref="B3" location="'conto economico va'!C4" display="CONTO ECONOMICO A VALORE AGGIUNTO" xr:uid="{4F6DD6FB-BE7B-3441-A996-7273CA3999A2}"/>
    <hyperlink ref="B4" location="'conto economico margine '!C4" display="CONTO ECONOMICO A MARGINE DI CONTRIBUZIONE" xr:uid="{250519E1-4285-C640-A16A-75A9D6800DD6}"/>
    <hyperlink ref="B6" location="'break even'!C4" display="BREAK EVEN" xr:uid="{3DD628D5-EA3D-044F-B7F3-F9F947A0C0C4}"/>
    <hyperlink ref="B8" location="'stato patrimoniale'!C4" display="STATO PATRIMONIALE" xr:uid="{568756BC-4BD6-1B48-812D-F43609A4A2F9}"/>
    <hyperlink ref="B9" location="'rendiconto finanziario'!A1" display="RENDICONTO FINANZIARIO" xr:uid="{550515C8-25B4-6B4E-88D0-666E2B939292}"/>
    <hyperlink ref="B7" location="Pareto!A1" display="PARETO" xr:uid="{D9786C06-F161-5949-8276-CF3606B96B30}"/>
    <hyperlink ref="B2" location="'bilancio cee'!A1" display="BILANCIO CEE" xr:uid="{B48F9A82-DBCF-A144-86F5-394B8DACB062}"/>
    <hyperlink ref="B5" location="'Conto economico RI'!A1" display="CONTO ECONOMICO RI" xr:uid="{2D6A17A4-17D4-784C-9CD0-DD03BD0D2AFA}"/>
    <hyperlink ref="E3" location="'rendiconto OIC'!A1" display="RENDICONTO OIC" xr:uid="{9425F108-8523-0541-9D9A-C1DE5BAAA621}"/>
    <hyperlink ref="E4" location="'flussi di ccn'!A1" display="FLUSSI CCN" xr:uid="{7C6177F8-5504-E34D-B721-6D36F5CD36C3}"/>
    <hyperlink ref="E6" location="'albero redditività'!A1" display="ALBERO REDDITITIVITA'" xr:uid="{9BA3EBAD-B259-804E-B427-1DE06A763ED4}"/>
    <hyperlink ref="E7" location="indici!A1" display="INDICI" xr:uid="{C352C64F-FBB4-6F4E-B42A-398081FDBAFA}"/>
    <hyperlink ref="E8" location="'indicatori crisi'!A1" display="INDICI DI CRISI" xr:uid="{94FCF3B3-E3F5-A042-BA6B-D712D7044A3D}"/>
    <hyperlink ref="E9" location="valutazione!A1" display="VALUTAZIONE" xr:uid="{11850695-6F70-7D4C-9A39-439C0DD4E966}"/>
    <hyperlink ref="E2" location="'rendiconto di liquidità'!A1" display="RENDICONTO DI LIQUIDITA'" xr:uid="{3166DBE1-177F-CC4F-A801-781F601D870C}"/>
    <hyperlink ref="E5" location="'albero redditività'!A1" display="ALBERO REDDITITIVITA'" xr:uid="{281872E3-1D0A-FF41-B09B-8D095FA92BA8}"/>
  </hyperlink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Spinner 1">
              <controlPr defaultSize="0" autoPict="0">
                <anchor moveWithCells="1" sizeWithCells="1">
                  <from>
                    <xdr:col>13</xdr:col>
                    <xdr:colOff>63500</xdr:colOff>
                    <xdr:row>1</xdr:row>
                    <xdr:rowOff>114300</xdr:rowOff>
                  </from>
                  <to>
                    <xdr:col>13</xdr:col>
                    <xdr:colOff>850900</xdr:colOff>
                    <xdr:row>3</xdr:row>
                    <xdr:rowOff>203200</xdr:rowOff>
                  </to>
                </anchor>
              </controlPr>
            </control>
          </mc:Choice>
        </mc:AlternateContent>
      </controls>
    </mc:Choice>
  </mc:AlternateContent>
  <tableParts count="1">
    <tablePart r:id="rId4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5"/>
      </x14:slicerList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0701B-E809-2742-BC07-783993B2340E}">
  <dimension ref="A1:I47"/>
  <sheetViews>
    <sheetView topLeftCell="A12" zoomScale="180" zoomScaleNormal="180" workbookViewId="0">
      <selection activeCell="A20" sqref="A20"/>
    </sheetView>
  </sheetViews>
  <sheetFormatPr baseColWidth="10" defaultColWidth="9.5" defaultRowHeight="11"/>
  <cols>
    <col min="1" max="1" width="48.5" style="573" bestFit="1" customWidth="1"/>
    <col min="2" max="2" width="16.5" style="573" customWidth="1"/>
    <col min="3" max="3" width="14.5" style="573" customWidth="1"/>
    <col min="4" max="4" width="13.6640625" style="573" bestFit="1" customWidth="1"/>
    <col min="5" max="5" width="34.1640625" style="573" customWidth="1"/>
    <col min="6" max="6" width="11.6640625" style="573" bestFit="1" customWidth="1"/>
    <col min="7" max="7" width="15.6640625" style="573" bestFit="1" customWidth="1"/>
    <col min="8" max="8" width="14.5" style="573" customWidth="1"/>
    <col min="9" max="9" width="22.6640625" style="573" customWidth="1"/>
    <col min="10" max="16384" width="9.5" style="573"/>
  </cols>
  <sheetData>
    <row r="1" spans="1:9" ht="18">
      <c r="A1" s="454"/>
      <c r="B1" s="454"/>
      <c r="C1"/>
      <c r="D1"/>
      <c r="E1"/>
    </row>
    <row r="2" spans="1:9" ht="18">
      <c r="A2" s="454">
        <v>1</v>
      </c>
      <c r="B2" s="663" t="s">
        <v>659</v>
      </c>
      <c r="C2"/>
      <c r="D2" s="454">
        <v>9</v>
      </c>
      <c r="E2" s="663" t="s">
        <v>610</v>
      </c>
    </row>
    <row r="3" spans="1:9" ht="18">
      <c r="A3" s="454">
        <v>2</v>
      </c>
      <c r="B3" s="663" t="s">
        <v>607</v>
      </c>
      <c r="C3"/>
      <c r="D3" s="454">
        <v>10</v>
      </c>
      <c r="E3" s="663" t="s">
        <v>661</v>
      </c>
    </row>
    <row r="4" spans="1:9" ht="18">
      <c r="A4" s="454">
        <v>3</v>
      </c>
      <c r="B4" s="663" t="s">
        <v>609</v>
      </c>
      <c r="C4"/>
      <c r="D4" s="454">
        <v>11</v>
      </c>
      <c r="E4" s="663" t="s">
        <v>662</v>
      </c>
    </row>
    <row r="5" spans="1:9" ht="18">
      <c r="A5" s="454">
        <v>4</v>
      </c>
      <c r="B5" s="663" t="s">
        <v>660</v>
      </c>
      <c r="C5"/>
      <c r="D5" s="454">
        <v>12</v>
      </c>
      <c r="E5" s="663" t="s">
        <v>663</v>
      </c>
    </row>
    <row r="6" spans="1:9" ht="18">
      <c r="A6" s="454">
        <v>5</v>
      </c>
      <c r="B6" s="663" t="s">
        <v>611</v>
      </c>
      <c r="C6"/>
      <c r="D6" s="454">
        <v>13</v>
      </c>
      <c r="E6" s="663" t="s">
        <v>663</v>
      </c>
    </row>
    <row r="7" spans="1:9" ht="18">
      <c r="A7" s="454">
        <v>6</v>
      </c>
      <c r="B7" s="663" t="s">
        <v>613</v>
      </c>
      <c r="C7"/>
      <c r="D7" s="454">
        <v>14</v>
      </c>
      <c r="E7" s="663" t="s">
        <v>664</v>
      </c>
    </row>
    <row r="8" spans="1:9" ht="18">
      <c r="A8" s="454">
        <v>7</v>
      </c>
      <c r="B8" s="663" t="s">
        <v>612</v>
      </c>
      <c r="C8"/>
      <c r="D8" s="454">
        <v>15</v>
      </c>
      <c r="E8" s="663" t="s">
        <v>665</v>
      </c>
    </row>
    <row r="9" spans="1:9" ht="18">
      <c r="A9" s="454">
        <v>8</v>
      </c>
      <c r="B9" s="663" t="s">
        <v>608</v>
      </c>
      <c r="C9"/>
      <c r="D9" s="454">
        <v>16</v>
      </c>
      <c r="E9" s="663" t="s">
        <v>666</v>
      </c>
    </row>
    <row r="12" spans="1:9" s="549" customFormat="1" ht="15">
      <c r="A12" s="548"/>
      <c r="B12" s="548"/>
      <c r="C12" s="548"/>
      <c r="D12" s="548"/>
      <c r="E12" s="548"/>
      <c r="F12" s="548"/>
      <c r="G12" s="548"/>
      <c r="H12" s="548"/>
      <c r="I12" s="548"/>
    </row>
    <row r="13" spans="1:9" s="553" customFormat="1" ht="21">
      <c r="A13" s="550" t="s">
        <v>549</v>
      </c>
      <c r="B13" s="548"/>
      <c r="C13" s="551" t="s">
        <v>550</v>
      </c>
      <c r="D13" s="552" t="s">
        <v>604</v>
      </c>
      <c r="E13" s="548"/>
      <c r="F13" s="548"/>
      <c r="G13" s="548"/>
      <c r="H13" s="548"/>
      <c r="I13" s="548"/>
    </row>
    <row r="14" spans="1:9" s="549" customFormat="1" ht="15">
      <c r="A14" s="548"/>
      <c r="B14" s="548"/>
      <c r="C14" s="548"/>
      <c r="D14" s="548"/>
      <c r="E14" s="548"/>
      <c r="F14" s="548"/>
      <c r="G14" s="548"/>
      <c r="H14" s="548"/>
      <c r="I14" s="548"/>
    </row>
    <row r="15" spans="1:9" s="549" customFormat="1" ht="17">
      <c r="A15" s="548"/>
      <c r="B15" s="548"/>
      <c r="C15" s="554" t="s">
        <v>551</v>
      </c>
      <c r="D15" s="555"/>
      <c r="E15" s="556"/>
      <c r="F15" s="557"/>
      <c r="G15" s="557"/>
      <c r="H15" s="557"/>
      <c r="I15" s="548"/>
    </row>
    <row r="16" spans="1:9" s="549" customFormat="1" ht="16">
      <c r="A16" s="558" t="s">
        <v>552</v>
      </c>
      <c r="B16" s="559" t="s">
        <v>434</v>
      </c>
      <c r="C16" s="560"/>
      <c r="D16" s="560"/>
      <c r="E16" s="561" t="str">
        <f>+B16</f>
        <v>31/12/x+1</v>
      </c>
      <c r="F16" s="557"/>
      <c r="G16" s="557"/>
      <c r="H16" s="557"/>
      <c r="I16" s="548"/>
    </row>
    <row r="17" spans="1:9" s="549" customFormat="1" ht="21">
      <c r="A17" s="562" t="s">
        <v>553</v>
      </c>
      <c r="B17" s="565">
        <f>+'Stato patrimoniale'!D74</f>
        <v>2610125</v>
      </c>
      <c r="C17" s="563" t="s">
        <v>554</v>
      </c>
      <c r="D17" s="563">
        <v>0</v>
      </c>
      <c r="E17" s="564">
        <f>+IF(B17="","",IF(B17&gt;$D$19,1,-1))</f>
        <v>1</v>
      </c>
      <c r="F17" s="557"/>
      <c r="G17" s="557"/>
      <c r="H17" s="557"/>
      <c r="I17" s="548"/>
    </row>
    <row r="18" spans="1:9" s="549" customFormat="1" ht="21">
      <c r="A18" s="562" t="s">
        <v>555</v>
      </c>
      <c r="B18" s="588">
        <f>+'rendiconto finanziario'!D19/('Stato patrimoniale'!G41-'Stato patrimoniale'!H41-'conto economico va'!B70)</f>
        <v>1.0614975404991134</v>
      </c>
      <c r="C18" s="563" t="s">
        <v>554</v>
      </c>
      <c r="D18" s="563">
        <v>1</v>
      </c>
      <c r="E18" s="564">
        <f>+IF(B18="","",IF(B18&gt;$D$19,1,-1))</f>
        <v>1</v>
      </c>
      <c r="F18" s="605" t="s">
        <v>600</v>
      </c>
      <c r="G18" s="606">
        <f>+'conto economico va'!B61</f>
        <v>429643</v>
      </c>
      <c r="H18" s="557"/>
      <c r="I18" s="548"/>
    </row>
    <row r="19" spans="1:9" s="549" customFormat="1" ht="21">
      <c r="A19" s="562" t="str">
        <f>+A28</f>
        <v xml:space="preserve">Indice di sostenibilità degli oneri finanziari </v>
      </c>
      <c r="B19" s="566">
        <f>-'conto economico va'!C74/'conto economico va'!B14</f>
        <v>2.6381972500961016E-2</v>
      </c>
      <c r="C19" s="563" t="s">
        <v>556</v>
      </c>
      <c r="D19" s="567">
        <f>+INDEX($B$37:$B$46,MATCH($D$13,$H$37:$H$46,0))</f>
        <v>0.03</v>
      </c>
      <c r="E19" s="564">
        <f>+IF(B19="","",IF(B19&lt;$D$19,1,-1))</f>
        <v>1</v>
      </c>
      <c r="F19" s="605" t="s">
        <v>601</v>
      </c>
      <c r="G19" s="606">
        <f>-'conto economico va'!C74</f>
        <v>156889</v>
      </c>
      <c r="H19" s="557"/>
      <c r="I19" s="548"/>
    </row>
    <row r="20" spans="1:9" s="549" customFormat="1" ht="21">
      <c r="A20" s="562" t="str">
        <f>+A29</f>
        <v>Indice di adeguatezza patrimoniale</v>
      </c>
      <c r="B20" s="566">
        <f>+('Stato patrimoniale'!H15-'bilancio cee'!C23)/('Stato patrimoniale'!H24+'Stato patrimoniale'!H41+'Stato patrimoniale'!H47+'Stato patrimoniale'!H61)</f>
        <v>0.33086773761327487</v>
      </c>
      <c r="C20" s="563" t="s">
        <v>557</v>
      </c>
      <c r="D20" s="567">
        <f>+INDEX($C$37:$C$46,MATCH($D$13,$H$37:$H$46,0))</f>
        <v>7.5999999999999998E-2</v>
      </c>
      <c r="E20" s="564">
        <f>+IF(B20="","",IF(B20&gt;$D20,1,-1))</f>
        <v>1</v>
      </c>
      <c r="F20" s="605" t="s">
        <v>602</v>
      </c>
      <c r="G20" s="606">
        <f>+'Stato patrimoniale'!G41-'Stato patrimoniale'!H41</f>
        <v>239177</v>
      </c>
      <c r="H20" s="557"/>
      <c r="I20" s="548"/>
    </row>
    <row r="21" spans="1:9" s="549" customFormat="1" ht="21">
      <c r="A21" s="562" t="str">
        <f>+A30</f>
        <v>Indice di ritorno liquido dell'attivo</v>
      </c>
      <c r="B21" s="566">
        <f>+G18/'Stato patrimoniale'!D67</f>
        <v>4.1399574116562636E-2</v>
      </c>
      <c r="C21" s="563" t="s">
        <v>557</v>
      </c>
      <c r="D21" s="567">
        <f>+INDEX($D$37:$D$46,MATCH($D$13,$H$37:$H$46,0))</f>
        <v>5.0000000000000001E-3</v>
      </c>
      <c r="E21" s="564">
        <f>+IF(B21="","",IF(B21&gt;$D21,1,-1))</f>
        <v>1</v>
      </c>
      <c r="F21" s="605" t="s">
        <v>603</v>
      </c>
      <c r="G21" s="607">
        <f>+G18/(G19+G20)</f>
        <v>1.0847762746612939</v>
      </c>
      <c r="H21" s="557"/>
      <c r="I21" s="548" t="s">
        <v>596</v>
      </c>
    </row>
    <row r="22" spans="1:9" s="549" customFormat="1" ht="21">
      <c r="A22" s="562" t="str">
        <f>+A31</f>
        <v>Indice di liquidità</v>
      </c>
      <c r="B22" s="568">
        <f>+'Stato patrimoniale'!D93</f>
        <v>0.9530333141913705</v>
      </c>
      <c r="C22" s="563" t="s">
        <v>557</v>
      </c>
      <c r="D22" s="567">
        <f>+INDEX($E$37:$E$46,MATCH($D$13,$H$37:$H$46,0))</f>
        <v>0.93700000000000006</v>
      </c>
      <c r="E22" s="564">
        <f>+IF(B22="","",IF(B22&gt;$D22,1,-1))</f>
        <v>1</v>
      </c>
      <c r="F22" s="557"/>
      <c r="G22" s="557"/>
      <c r="H22" s="557"/>
      <c r="I22" s="548"/>
    </row>
    <row r="23" spans="1:9" s="549" customFormat="1" ht="21">
      <c r="A23" s="569" t="str">
        <f>+A32</f>
        <v>Indice di indebitamento previdenziale o tributario</v>
      </c>
      <c r="B23" s="570">
        <f>+('Stato patrimoniale'!H50+'Stato patrimoniale'!H51)/'Stato patrimoniale'!D67</f>
        <v>8.0681583090005098E-3</v>
      </c>
      <c r="C23" s="571" t="s">
        <v>556</v>
      </c>
      <c r="D23" s="572">
        <f>+INDEX($F$37:$F$46,MATCH($D$13,$H$37:$H$46,0))</f>
        <v>4.9000000000000002E-2</v>
      </c>
      <c r="E23" s="564">
        <f>IF(B23="","",IF(B23&lt;$D$23,1,-1))</f>
        <v>1</v>
      </c>
      <c r="F23" s="557"/>
      <c r="G23" s="557"/>
      <c r="H23" s="557"/>
      <c r="I23" s="548"/>
    </row>
    <row r="24" spans="1:9" s="549" customFormat="1" ht="15">
      <c r="A24" s="548"/>
      <c r="B24" s="548"/>
      <c r="C24" s="548"/>
      <c r="D24" s="548"/>
      <c r="E24" s="548"/>
      <c r="F24" s="548"/>
      <c r="G24" s="548"/>
      <c r="H24" s="548"/>
      <c r="I24" s="548"/>
    </row>
    <row r="25" spans="1:9" ht="15">
      <c r="A25" s="548"/>
      <c r="B25" s="548"/>
      <c r="C25" s="548"/>
      <c r="D25" s="548"/>
      <c r="E25" s="548"/>
      <c r="F25" s="548"/>
      <c r="G25" s="548"/>
      <c r="H25" s="548"/>
      <c r="I25" s="548"/>
    </row>
    <row r="26" spans="1:9" ht="15">
      <c r="A26" s="548"/>
      <c r="B26" s="548"/>
      <c r="C26" s="548"/>
      <c r="D26" s="548"/>
      <c r="E26" s="548"/>
      <c r="F26" s="548"/>
      <c r="G26" s="548"/>
      <c r="H26" s="548"/>
      <c r="I26" s="548"/>
    </row>
    <row r="27" spans="1:9" ht="21">
      <c r="A27" s="574" t="s">
        <v>558</v>
      </c>
      <c r="B27" s="548"/>
      <c r="C27" s="548"/>
      <c r="D27" s="548"/>
      <c r="E27" s="548"/>
      <c r="F27" s="548"/>
      <c r="G27" s="548"/>
      <c r="H27" s="548"/>
      <c r="I27" s="548"/>
    </row>
    <row r="28" spans="1:9" ht="14">
      <c r="A28" s="575" t="s">
        <v>559</v>
      </c>
      <c r="B28" s="796" t="s">
        <v>560</v>
      </c>
      <c r="C28" s="797"/>
      <c r="D28" s="797"/>
      <c r="E28" s="797"/>
      <c r="F28" s="797"/>
      <c r="G28" s="797"/>
      <c r="H28" s="797"/>
      <c r="I28" s="798"/>
    </row>
    <row r="29" spans="1:9" ht="14">
      <c r="A29" s="575" t="s">
        <v>561</v>
      </c>
      <c r="B29" s="799" t="s">
        <v>562</v>
      </c>
      <c r="C29" s="800"/>
      <c r="D29" s="800"/>
      <c r="E29" s="800"/>
      <c r="F29" s="800"/>
      <c r="G29" s="800"/>
      <c r="H29" s="800"/>
      <c r="I29" s="801"/>
    </row>
    <row r="30" spans="1:9" ht="14">
      <c r="A30" s="575" t="s">
        <v>563</v>
      </c>
      <c r="B30" s="799" t="s">
        <v>564</v>
      </c>
      <c r="C30" s="800"/>
      <c r="D30" s="800"/>
      <c r="E30" s="800"/>
      <c r="F30" s="800"/>
      <c r="G30" s="800"/>
      <c r="H30" s="800"/>
      <c r="I30" s="801"/>
    </row>
    <row r="31" spans="1:9" ht="14">
      <c r="A31" s="575" t="s">
        <v>565</v>
      </c>
      <c r="B31" s="799" t="s">
        <v>566</v>
      </c>
      <c r="C31" s="800"/>
      <c r="D31" s="800"/>
      <c r="E31" s="800"/>
      <c r="F31" s="800"/>
      <c r="G31" s="800"/>
      <c r="H31" s="800"/>
      <c r="I31" s="801"/>
    </row>
    <row r="32" spans="1:9" ht="14">
      <c r="A32" s="576" t="s">
        <v>567</v>
      </c>
      <c r="B32" s="802" t="s">
        <v>568</v>
      </c>
      <c r="C32" s="803"/>
      <c r="D32" s="803"/>
      <c r="E32" s="803"/>
      <c r="F32" s="803"/>
      <c r="G32" s="803"/>
      <c r="H32" s="803"/>
      <c r="I32" s="804"/>
    </row>
    <row r="33" spans="1:9" ht="15">
      <c r="A33" s="548"/>
      <c r="B33" s="548"/>
      <c r="C33" s="548"/>
      <c r="D33" s="548"/>
      <c r="E33" s="548"/>
      <c r="F33" s="548"/>
      <c r="G33" s="548"/>
      <c r="H33" s="548"/>
      <c r="I33" s="548"/>
    </row>
    <row r="34" spans="1:9" ht="15">
      <c r="A34" s="548"/>
      <c r="B34" s="548"/>
      <c r="C34" s="548"/>
      <c r="D34" s="548"/>
      <c r="E34" s="548"/>
      <c r="F34" s="548"/>
      <c r="G34" s="548"/>
      <c r="H34" s="548"/>
      <c r="I34" s="548"/>
    </row>
    <row r="35" spans="1:9" ht="15">
      <c r="A35" s="548"/>
      <c r="B35" s="548"/>
      <c r="C35" s="548"/>
      <c r="D35" s="548"/>
      <c r="E35" s="548"/>
      <c r="F35" s="548"/>
      <c r="G35" s="548"/>
      <c r="H35" s="548"/>
      <c r="I35" s="548"/>
    </row>
    <row r="36" spans="1:9" ht="15">
      <c r="A36" s="577" t="s">
        <v>569</v>
      </c>
      <c r="B36" s="577" t="s">
        <v>570</v>
      </c>
      <c r="C36" s="577" t="s">
        <v>571</v>
      </c>
      <c r="D36" s="577" t="s">
        <v>572</v>
      </c>
      <c r="E36" s="577" t="s">
        <v>573</v>
      </c>
      <c r="F36" s="795" t="s">
        <v>574</v>
      </c>
      <c r="G36" s="794"/>
      <c r="H36" s="578" t="s">
        <v>575</v>
      </c>
      <c r="I36" s="548"/>
    </row>
    <row r="37" spans="1:9" ht="15">
      <c r="A37" s="579" t="s">
        <v>576</v>
      </c>
      <c r="B37" s="580">
        <v>2.8000000000000001E-2</v>
      </c>
      <c r="C37" s="580">
        <v>9.4E-2</v>
      </c>
      <c r="D37" s="580">
        <v>3.0000000000000001E-3</v>
      </c>
      <c r="E37" s="580">
        <v>0.92100000000000004</v>
      </c>
      <c r="F37" s="791">
        <v>5.6000000000000001E-2</v>
      </c>
      <c r="G37" s="792"/>
      <c r="H37" s="581" t="s">
        <v>577</v>
      </c>
      <c r="I37" s="548"/>
    </row>
    <row r="38" spans="1:9" ht="15">
      <c r="A38" s="582" t="s">
        <v>578</v>
      </c>
      <c r="B38" s="583">
        <v>0.03</v>
      </c>
      <c r="C38" s="583">
        <v>7.5999999999999998E-2</v>
      </c>
      <c r="D38" s="583">
        <v>5.0000000000000001E-3</v>
      </c>
      <c r="E38" s="583">
        <v>0.93700000000000006</v>
      </c>
      <c r="F38" s="793">
        <v>4.9000000000000002E-2</v>
      </c>
      <c r="G38" s="794"/>
      <c r="H38" s="581" t="s">
        <v>579</v>
      </c>
      <c r="I38" s="548"/>
    </row>
    <row r="39" spans="1:9" ht="15">
      <c r="A39" s="579" t="s">
        <v>580</v>
      </c>
      <c r="B39" s="580">
        <v>2.5999999999999999E-2</v>
      </c>
      <c r="C39" s="580">
        <v>6.7000000000000004E-2</v>
      </c>
      <c r="D39" s="580">
        <v>1.9E-2</v>
      </c>
      <c r="E39" s="580">
        <v>0.84199999999999997</v>
      </c>
      <c r="F39" s="791">
        <v>6.5000000000000002E-2</v>
      </c>
      <c r="G39" s="792"/>
      <c r="H39" s="581" t="s">
        <v>581</v>
      </c>
      <c r="I39" s="548"/>
    </row>
    <row r="40" spans="1:9" ht="15">
      <c r="A40" s="582" t="s">
        <v>582</v>
      </c>
      <c r="B40" s="583">
        <v>3.7999999999999999E-2</v>
      </c>
      <c r="C40" s="583">
        <v>4.9000000000000002E-2</v>
      </c>
      <c r="D40" s="583">
        <v>4.0000000000000001E-3</v>
      </c>
      <c r="E40" s="585">
        <v>1.08</v>
      </c>
      <c r="F40" s="793">
        <v>3.7999999999999999E-2</v>
      </c>
      <c r="G40" s="794"/>
      <c r="H40" s="581" t="s">
        <v>583</v>
      </c>
      <c r="I40" s="548"/>
    </row>
    <row r="41" spans="1:9" ht="15">
      <c r="A41" s="579" t="s">
        <v>584</v>
      </c>
      <c r="B41" s="580">
        <v>2.8000000000000001E-2</v>
      </c>
      <c r="C41" s="580">
        <v>5.2999999999999999E-2</v>
      </c>
      <c r="D41" s="580">
        <v>1.4E-2</v>
      </c>
      <c r="E41" s="580">
        <v>1.0109999999999999</v>
      </c>
      <c r="F41" s="791">
        <v>5.2999999999999999E-2</v>
      </c>
      <c r="G41" s="792"/>
      <c r="H41" s="581" t="s">
        <v>585</v>
      </c>
      <c r="I41" s="548"/>
    </row>
    <row r="42" spans="1:9" ht="30">
      <c r="A42" s="582" t="s">
        <v>586</v>
      </c>
      <c r="B42" s="583">
        <v>2.1000000000000001E-2</v>
      </c>
      <c r="C42" s="583">
        <v>6.3E-2</v>
      </c>
      <c r="D42" s="583">
        <v>6.0000000000000001E-3</v>
      </c>
      <c r="E42" s="583">
        <v>1.014</v>
      </c>
      <c r="F42" s="793">
        <v>2.9000000000000001E-2</v>
      </c>
      <c r="G42" s="794"/>
      <c r="H42" s="581" t="s">
        <v>587</v>
      </c>
      <c r="I42" s="548"/>
    </row>
    <row r="43" spans="1:9" ht="15">
      <c r="A43" s="579" t="s">
        <v>588</v>
      </c>
      <c r="B43" s="580">
        <v>1.4999999999999999E-2</v>
      </c>
      <c r="C43" s="580">
        <v>4.2000000000000003E-2</v>
      </c>
      <c r="D43" s="580">
        <v>0.01</v>
      </c>
      <c r="E43" s="580">
        <v>0.89800000000000002</v>
      </c>
      <c r="F43" s="791">
        <v>7.8E-2</v>
      </c>
      <c r="G43" s="792"/>
      <c r="H43" s="581" t="s">
        <v>589</v>
      </c>
      <c r="I43" s="548"/>
    </row>
    <row r="44" spans="1:9" ht="15">
      <c r="A44" s="582" t="s">
        <v>590</v>
      </c>
      <c r="B44" s="583">
        <v>1.4999999999999999E-2</v>
      </c>
      <c r="C44" s="583">
        <v>4.1000000000000002E-2</v>
      </c>
      <c r="D44" s="583">
        <v>1.4E-2</v>
      </c>
      <c r="E44" s="585">
        <v>0.86</v>
      </c>
      <c r="F44" s="793">
        <v>0.10199999999999999</v>
      </c>
      <c r="G44" s="794"/>
      <c r="H44" s="581" t="s">
        <v>591</v>
      </c>
      <c r="I44" s="548"/>
    </row>
    <row r="45" spans="1:9" ht="15">
      <c r="A45" s="579" t="s">
        <v>592</v>
      </c>
      <c r="B45" s="580">
        <v>1.7999999999999999E-2</v>
      </c>
      <c r="C45" s="580">
        <v>5.1999999999999998E-2</v>
      </c>
      <c r="D45" s="580">
        <v>1.7000000000000001E-2</v>
      </c>
      <c r="E45" s="580">
        <v>0.95399999999999996</v>
      </c>
      <c r="F45" s="791">
        <v>0.11899999999999999</v>
      </c>
      <c r="G45" s="792"/>
      <c r="H45" s="581" t="s">
        <v>593</v>
      </c>
      <c r="I45" s="548"/>
    </row>
    <row r="46" spans="1:9" ht="15">
      <c r="A46" s="586" t="s">
        <v>594</v>
      </c>
      <c r="B46" s="584">
        <v>2.7E-2</v>
      </c>
      <c r="C46" s="584">
        <v>2.3E-2</v>
      </c>
      <c r="D46" s="584">
        <v>5.0000000000000001E-3</v>
      </c>
      <c r="E46" s="584">
        <v>0.69799999999999995</v>
      </c>
      <c r="F46" s="793">
        <v>0.14599999999999999</v>
      </c>
      <c r="G46" s="794"/>
      <c r="H46" s="587" t="s">
        <v>595</v>
      </c>
      <c r="I46" s="548"/>
    </row>
    <row r="47" spans="1:9" ht="15">
      <c r="A47" s="548"/>
      <c r="B47" s="548"/>
      <c r="C47" s="548"/>
      <c r="D47" s="548"/>
      <c r="E47" s="548"/>
      <c r="F47" s="548"/>
      <c r="G47" s="548"/>
      <c r="H47" s="548"/>
      <c r="I47" s="548"/>
    </row>
  </sheetData>
  <mergeCells count="16">
    <mergeCell ref="F36:G36"/>
    <mergeCell ref="B28:I28"/>
    <mergeCell ref="B29:I29"/>
    <mergeCell ref="B30:I30"/>
    <mergeCell ref="B31:I31"/>
    <mergeCell ref="B32:I32"/>
    <mergeCell ref="F43:G43"/>
    <mergeCell ref="F44:G44"/>
    <mergeCell ref="F45:G45"/>
    <mergeCell ref="F46:G46"/>
    <mergeCell ref="F37:G37"/>
    <mergeCell ref="F38:G38"/>
    <mergeCell ref="F39:G39"/>
    <mergeCell ref="F40:G40"/>
    <mergeCell ref="F41:G41"/>
    <mergeCell ref="F42:G42"/>
  </mergeCells>
  <hyperlinks>
    <hyperlink ref="B3" location="'conto economico va'!C4" display="CONTO ECONOMICO A VALORE AGGIUNTO" xr:uid="{05C341EC-184E-2D4B-8ED5-B08A6E5DFFD7}"/>
    <hyperlink ref="B4" location="'conto economico margine '!C4" display="CONTO ECONOMICO A MARGINE DI CONTRIBUZIONE" xr:uid="{6151A519-3BA8-D14D-8589-FE8FE8EDD279}"/>
    <hyperlink ref="B6" location="'break even'!C4" display="BREAK EVEN" xr:uid="{DAC3286C-DE69-E14E-BD24-D08CAD063F25}"/>
    <hyperlink ref="B8" location="'stato patrimoniale'!C4" display="STATO PATRIMONIALE" xr:uid="{26FBCC6E-997F-5240-B7DF-96DC0F619F42}"/>
    <hyperlink ref="B9" location="'rendiconto finanziario'!A1" display="RENDICONTO FINANZIARIO" xr:uid="{B49E3C42-EF2A-2A4F-A983-C126911A4273}"/>
    <hyperlink ref="B7" location="Pareto!A1" display="PARETO" xr:uid="{6E913764-8B66-A540-B61D-9E09860AD253}"/>
    <hyperlink ref="B2" location="'bilancio cee'!A1" display="BILANCIO CEE" xr:uid="{2F1E9A63-CBDD-C84B-8D80-26FD4F4B9AD3}"/>
    <hyperlink ref="B5" location="'Conto economico RI'!A1" display="CONTO ECONOMICO RI" xr:uid="{16B412E5-8616-3D4F-BFD5-2AA8A1F5B709}"/>
    <hyperlink ref="E3" location="'rendiconto OIC'!A1" display="RENDICONTO OIC" xr:uid="{F1C45921-9CDD-CB40-8BBB-2C77D3306459}"/>
    <hyperlink ref="E4" location="'flussi di ccn'!A1" display="FLUSSI CCN" xr:uid="{8C919C67-3002-B745-B2DA-08505DB739DA}"/>
    <hyperlink ref="E6" location="'albero redditività'!A1" display="ALBERO REDDITITIVITA'" xr:uid="{2A226EEB-203D-E84E-85D5-CCF1A78D35BF}"/>
    <hyperlink ref="E7" location="indici!A1" display="INDICI" xr:uid="{5A3B7247-872D-0E4E-BE79-DE65DAE3380C}"/>
    <hyperlink ref="E8" location="'indicatori crisi'!A1" display="INDICI DI CRISI" xr:uid="{E71D4FA3-7515-F04F-8AB9-A52B1864F9AB}"/>
    <hyperlink ref="E9" location="valutazione!A1" display="VALUTAZIONE" xr:uid="{D4B0D026-5887-1542-8697-7804FAA5CB57}"/>
    <hyperlink ref="E2" location="'rendiconto di liquidità'!A1" display="RENDICONTO DI LIQUIDITA'" xr:uid="{18420DCE-0439-6846-8B77-A68B4076308E}"/>
    <hyperlink ref="E5" location="'albero redditività'!A1" display="ALBERO REDDITITIVITA'" xr:uid="{2EBBFF95-AA50-234C-B901-C0DD6CD375B8}"/>
  </hyperlink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3678B0D-179C-FD42-A5A6-EBAEC1CB046A}">
            <x14:iconSet iconSet="3Symbol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2"/>
              <x14:cfIcon iconSet="3Symbols" iconId="2"/>
            </x14:iconSet>
          </x14:cfRule>
          <xm:sqref>E17:E23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A6DB7-A314-C24C-9AE0-B7437F0DD50E}">
  <dimension ref="A1:P99"/>
  <sheetViews>
    <sheetView zoomScale="90" zoomScaleNormal="90" workbookViewId="0">
      <selection activeCell="E66" sqref="E66"/>
    </sheetView>
  </sheetViews>
  <sheetFormatPr baseColWidth="10" defaultColWidth="8.83203125" defaultRowHeight="12"/>
  <cols>
    <col min="1" max="1" width="5.33203125" customWidth="1"/>
    <col min="3" max="3" width="35.83203125" customWidth="1"/>
    <col min="4" max="4" width="24.1640625" customWidth="1"/>
    <col min="5" max="5" width="49.1640625" customWidth="1"/>
    <col min="6" max="6" width="21.6640625" customWidth="1"/>
    <col min="7" max="7" width="24" customWidth="1"/>
    <col min="8" max="8" width="32.33203125" customWidth="1"/>
    <col min="9" max="9" width="26.6640625" customWidth="1"/>
    <col min="10" max="10" width="18.83203125" customWidth="1"/>
    <col min="12" max="12" width="11.6640625" customWidth="1"/>
    <col min="16" max="16" width="21.5" bestFit="1" customWidth="1"/>
  </cols>
  <sheetData>
    <row r="1" spans="2:16" ht="13" thickBot="1"/>
    <row r="2" spans="2:16" ht="16">
      <c r="B2" s="455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7"/>
      <c r="P2" s="171"/>
    </row>
    <row r="3" spans="2:16" ht="18">
      <c r="B3" s="458"/>
      <c r="C3" s="805" t="s">
        <v>445</v>
      </c>
      <c r="D3" s="805"/>
      <c r="E3" s="805"/>
      <c r="F3" s="805"/>
      <c r="G3" s="805"/>
      <c r="H3" s="805"/>
      <c r="I3" s="805"/>
      <c r="J3" s="805"/>
      <c r="K3" s="805"/>
      <c r="L3" s="805"/>
      <c r="M3" s="459"/>
      <c r="P3" s="171"/>
    </row>
    <row r="4" spans="2:16" ht="19">
      <c r="B4" s="458"/>
      <c r="C4" s="460"/>
      <c r="D4" s="460"/>
      <c r="E4" s="460"/>
      <c r="F4" s="460"/>
      <c r="G4" s="460"/>
      <c r="H4" s="460"/>
      <c r="I4" s="460"/>
      <c r="J4" s="460"/>
      <c r="K4" s="460"/>
      <c r="L4" s="460"/>
      <c r="M4" s="459"/>
      <c r="P4" s="171"/>
    </row>
    <row r="5" spans="2:16" ht="19" thickBot="1">
      <c r="B5" s="458"/>
      <c r="C5" s="461"/>
      <c r="D5" s="461"/>
      <c r="E5" s="461"/>
      <c r="F5" s="461"/>
      <c r="G5" s="461"/>
      <c r="H5" s="461"/>
      <c r="I5" s="461"/>
      <c r="J5" s="461"/>
      <c r="K5" s="461"/>
      <c r="L5" s="461"/>
      <c r="M5" s="459"/>
    </row>
    <row r="6" spans="2:16" ht="19" thickBot="1">
      <c r="B6" s="458"/>
      <c r="C6" s="461" t="s">
        <v>446</v>
      </c>
      <c r="D6" s="295">
        <v>20538</v>
      </c>
      <c r="E6" s="461"/>
      <c r="F6" s="461"/>
      <c r="G6" s="461"/>
      <c r="H6" s="461"/>
      <c r="I6" s="461" t="s">
        <v>447</v>
      </c>
      <c r="J6" s="461"/>
      <c r="K6" s="461"/>
      <c r="L6" s="463">
        <v>1.6500000000000001E-2</v>
      </c>
      <c r="M6" s="459"/>
    </row>
    <row r="7" spans="2:16" ht="19" thickBot="1">
      <c r="B7" s="458"/>
      <c r="C7" s="461"/>
      <c r="D7" s="461"/>
      <c r="E7" s="461"/>
      <c r="F7" s="461"/>
      <c r="G7" s="461"/>
      <c r="H7" s="461"/>
      <c r="I7" s="461"/>
      <c r="J7" s="461"/>
      <c r="K7" s="461"/>
      <c r="L7" s="461"/>
      <c r="M7" s="459"/>
    </row>
    <row r="8" spans="2:16" ht="19" thickBot="1">
      <c r="B8" s="458"/>
      <c r="C8" s="461" t="s">
        <v>448</v>
      </c>
      <c r="D8" s="464">
        <v>0.02</v>
      </c>
      <c r="E8" s="461"/>
      <c r="F8" s="454"/>
      <c r="G8" s="461"/>
      <c r="H8" s="461"/>
      <c r="I8" s="461" t="s">
        <v>449</v>
      </c>
      <c r="J8" s="461"/>
      <c r="K8" s="461"/>
      <c r="L8" s="463">
        <v>0.12</v>
      </c>
      <c r="M8" s="459"/>
    </row>
    <row r="9" spans="2:16" ht="19" thickBot="1">
      <c r="B9" s="458"/>
      <c r="C9" s="461"/>
      <c r="D9" s="461"/>
      <c r="E9" s="461"/>
      <c r="F9" s="461"/>
      <c r="G9" s="461"/>
      <c r="H9" s="461"/>
      <c r="I9" s="461"/>
      <c r="J9" s="461"/>
      <c r="K9" s="461"/>
      <c r="L9" s="461"/>
      <c r="M9" s="459"/>
    </row>
    <row r="10" spans="2:16" ht="19" thickBot="1">
      <c r="B10" s="458"/>
      <c r="C10" s="461"/>
      <c r="D10" s="461"/>
      <c r="E10" s="461"/>
      <c r="F10" s="461"/>
      <c r="G10" s="461"/>
      <c r="H10" s="461"/>
      <c r="I10" s="461" t="s">
        <v>450</v>
      </c>
      <c r="J10" s="461"/>
      <c r="K10" s="461"/>
      <c r="L10" s="462">
        <v>1</v>
      </c>
      <c r="M10" s="459"/>
    </row>
    <row r="11" spans="2:16" ht="18">
      <c r="B11" s="458"/>
      <c r="C11" s="461"/>
      <c r="D11" s="461"/>
      <c r="E11" s="461"/>
      <c r="F11" s="461"/>
      <c r="G11" s="461"/>
      <c r="H11" s="461"/>
      <c r="I11" s="461"/>
      <c r="J11" s="461"/>
      <c r="K11" s="461"/>
      <c r="L11" s="461"/>
      <c r="M11" s="459"/>
    </row>
    <row r="12" spans="2:16" ht="18">
      <c r="B12" s="458"/>
      <c r="C12" s="461"/>
      <c r="D12" s="461"/>
      <c r="E12" s="461"/>
      <c r="F12" s="461"/>
      <c r="G12" s="461"/>
      <c r="H12" s="461"/>
      <c r="I12" s="461" t="s">
        <v>451</v>
      </c>
      <c r="J12" s="454"/>
      <c r="K12" s="461"/>
      <c r="L12" s="465">
        <f>L6+L10*L8</f>
        <v>0.13650000000000001</v>
      </c>
      <c r="M12" s="459"/>
    </row>
    <row r="13" spans="2:16" ht="19" thickBot="1">
      <c r="B13" s="458"/>
      <c r="C13" s="466"/>
      <c r="D13" s="466"/>
      <c r="E13" s="466"/>
      <c r="F13" s="466"/>
      <c r="G13" s="466"/>
      <c r="H13" s="466"/>
      <c r="I13" s="466"/>
      <c r="J13" s="466"/>
      <c r="K13" s="466"/>
      <c r="L13" s="466"/>
      <c r="M13" s="459"/>
    </row>
    <row r="14" spans="2:16" ht="18">
      <c r="B14" s="458"/>
      <c r="C14" s="461"/>
      <c r="D14" s="461"/>
      <c r="E14" s="461"/>
      <c r="F14" s="461"/>
      <c r="G14" s="461"/>
      <c r="H14" s="461"/>
      <c r="I14" s="461"/>
      <c r="J14" s="461"/>
      <c r="K14" s="461"/>
      <c r="L14" s="461"/>
      <c r="M14" s="459"/>
    </row>
    <row r="15" spans="2:16" ht="24">
      <c r="B15" s="458"/>
      <c r="C15" s="461"/>
      <c r="D15" s="461"/>
      <c r="E15" s="467" t="s">
        <v>452</v>
      </c>
      <c r="F15" s="468"/>
      <c r="G15" s="467"/>
      <c r="H15" s="467"/>
      <c r="I15" s="498">
        <f>D6*(1+D8)/(L12-D8)</f>
        <v>179817.68240343349</v>
      </c>
      <c r="J15" s="461"/>
      <c r="K15" s="461"/>
      <c r="L15" s="461"/>
      <c r="M15" s="459"/>
    </row>
    <row r="16" spans="2:16" ht="19" thickBot="1">
      <c r="B16" s="469"/>
      <c r="C16" s="466"/>
      <c r="D16" s="466"/>
      <c r="E16" s="466"/>
      <c r="F16" s="470"/>
      <c r="G16" s="466"/>
      <c r="H16" s="466"/>
      <c r="I16" s="466"/>
      <c r="J16" s="466"/>
      <c r="K16" s="466"/>
      <c r="L16" s="466"/>
      <c r="M16" s="471"/>
    </row>
    <row r="17" spans="2:13" ht="18">
      <c r="B17" s="455"/>
      <c r="C17" s="472"/>
      <c r="D17" s="472"/>
      <c r="E17" s="472"/>
      <c r="F17" s="473"/>
      <c r="G17" s="472"/>
      <c r="H17" s="472"/>
      <c r="I17" s="472"/>
      <c r="J17" s="472"/>
      <c r="K17" s="472"/>
      <c r="L17" s="472"/>
      <c r="M17" s="457"/>
    </row>
    <row r="18" spans="2:13" ht="19">
      <c r="B18" s="458"/>
      <c r="C18" s="806" t="s">
        <v>453</v>
      </c>
      <c r="D18" s="806"/>
      <c r="E18" s="806"/>
      <c r="F18" s="806"/>
      <c r="G18" s="806"/>
      <c r="H18" s="806"/>
      <c r="I18" s="806"/>
      <c r="J18" s="806"/>
      <c r="K18" s="806"/>
      <c r="L18" s="806"/>
      <c r="M18" s="459"/>
    </row>
    <row r="19" spans="2:13" ht="19" thickBot="1">
      <c r="B19" s="458"/>
      <c r="C19" s="461"/>
      <c r="D19" s="461"/>
      <c r="E19" s="461"/>
      <c r="F19" s="461"/>
      <c r="G19" s="461"/>
      <c r="H19" s="461"/>
      <c r="I19" s="461"/>
      <c r="J19" s="461"/>
      <c r="K19" s="461"/>
      <c r="L19" s="461"/>
      <c r="M19" s="459"/>
    </row>
    <row r="20" spans="2:13" ht="19" thickBot="1">
      <c r="B20" s="458"/>
      <c r="C20" s="461" t="s">
        <v>454</v>
      </c>
      <c r="D20" s="474">
        <v>20538</v>
      </c>
      <c r="E20" s="461"/>
      <c r="F20" s="461"/>
      <c r="G20" s="461"/>
      <c r="H20" s="461" t="s">
        <v>455</v>
      </c>
      <c r="I20" s="461"/>
      <c r="J20" s="464">
        <v>8.0000000000000002E-3</v>
      </c>
      <c r="K20" s="461"/>
      <c r="L20" s="461"/>
      <c r="M20" s="459"/>
    </row>
    <row r="21" spans="2:13" ht="18">
      <c r="B21" s="458"/>
      <c r="C21" s="461"/>
      <c r="D21" s="461"/>
      <c r="E21" s="461"/>
      <c r="F21" s="461"/>
      <c r="G21" s="461"/>
      <c r="H21" s="461"/>
      <c r="I21" s="461"/>
      <c r="J21" s="461"/>
      <c r="K21" s="461"/>
      <c r="L21" s="461"/>
      <c r="M21" s="459"/>
    </row>
    <row r="22" spans="2:13" ht="19">
      <c r="B22" s="458"/>
      <c r="C22" s="461" t="s">
        <v>456</v>
      </c>
      <c r="D22" s="465">
        <v>0</v>
      </c>
      <c r="E22" s="461"/>
      <c r="F22" s="461"/>
      <c r="G22" s="461"/>
      <c r="H22" s="461" t="s">
        <v>457</v>
      </c>
      <c r="I22" s="461"/>
      <c r="J22" s="465">
        <f>J20*(1-D22)</f>
        <v>8.0000000000000002E-3</v>
      </c>
      <c r="K22" s="460" t="str">
        <f>IF(J22&gt;D8,"OK","TROPPO ALTA")</f>
        <v>TROPPO ALTA</v>
      </c>
      <c r="L22" s="461"/>
      <c r="M22" s="459"/>
    </row>
    <row r="23" spans="2:13" ht="13" thickBot="1">
      <c r="B23" s="469"/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1"/>
    </row>
    <row r="29" spans="2:13" ht="13" thickBot="1"/>
    <row r="30" spans="2:13" ht="30">
      <c r="B30" s="807" t="s">
        <v>491</v>
      </c>
      <c r="C30" s="808"/>
      <c r="D30" s="808"/>
      <c r="E30" s="808"/>
      <c r="F30" s="808"/>
      <c r="G30" s="808"/>
      <c r="H30" s="808"/>
      <c r="I30" s="808"/>
      <c r="J30" s="809"/>
    </row>
    <row r="31" spans="2:13" ht="30">
      <c r="B31" s="810" t="s">
        <v>458</v>
      </c>
      <c r="C31" s="811"/>
      <c r="D31" s="812"/>
      <c r="E31" s="810" t="s">
        <v>459</v>
      </c>
      <c r="F31" s="811"/>
      <c r="G31" s="812"/>
      <c r="H31" s="810" t="s">
        <v>460</v>
      </c>
      <c r="I31" s="811"/>
      <c r="J31" s="812"/>
    </row>
    <row r="32" spans="2:13">
      <c r="B32" s="7"/>
      <c r="D32" s="221"/>
      <c r="E32" s="7"/>
      <c r="G32" s="221"/>
      <c r="H32" s="7"/>
      <c r="J32" s="221"/>
    </row>
    <row r="33" spans="2:10" ht="18">
      <c r="B33" s="476" t="s">
        <v>461</v>
      </c>
      <c r="C33" s="477">
        <f>+D6</f>
        <v>20538</v>
      </c>
      <c r="D33" s="221"/>
      <c r="E33" s="476" t="s">
        <v>462</v>
      </c>
      <c r="F33" s="499">
        <v>200000</v>
      </c>
      <c r="G33" s="478"/>
      <c r="H33" s="476" t="s">
        <v>463</v>
      </c>
      <c r="I33" s="479">
        <f>+J20</f>
        <v>8.0000000000000002E-3</v>
      </c>
      <c r="J33" s="478"/>
    </row>
    <row r="34" spans="2:10" ht="18">
      <c r="B34" s="476" t="s">
        <v>464</v>
      </c>
      <c r="C34" s="480">
        <f>+L12</f>
        <v>0.13650000000000001</v>
      </c>
      <c r="D34" s="221"/>
      <c r="E34" s="476" t="s">
        <v>461</v>
      </c>
      <c r="F34" s="477">
        <f>+D6</f>
        <v>20538</v>
      </c>
      <c r="G34" s="221"/>
      <c r="H34" s="476"/>
      <c r="I34" s="454"/>
      <c r="J34" s="221"/>
    </row>
    <row r="35" spans="2:10" ht="18">
      <c r="B35" s="476" t="s">
        <v>460</v>
      </c>
      <c r="C35" s="480">
        <f>+D8</f>
        <v>0.02</v>
      </c>
      <c r="D35" s="221"/>
      <c r="E35" s="476" t="s">
        <v>460</v>
      </c>
      <c r="F35" s="480">
        <f>+D8</f>
        <v>0.02</v>
      </c>
      <c r="G35" s="221"/>
      <c r="H35" s="476" t="s">
        <v>465</v>
      </c>
      <c r="I35" s="481">
        <v>1.7000000000000001E-2</v>
      </c>
      <c r="J35" s="221"/>
    </row>
    <row r="36" spans="2:10" ht="18">
      <c r="B36" s="476"/>
      <c r="C36" s="454"/>
      <c r="D36" s="221"/>
      <c r="E36" s="476"/>
      <c r="F36" s="454"/>
      <c r="G36" s="221"/>
      <c r="H36" s="476"/>
      <c r="I36" s="454"/>
      <c r="J36" s="221"/>
    </row>
    <row r="37" spans="2:10" ht="19" thickBot="1">
      <c r="B37" s="476" t="s">
        <v>466</v>
      </c>
      <c r="C37" s="482">
        <f>+C33*(1+C35)/(C34-C35)</f>
        <v>179817.68240343349</v>
      </c>
      <c r="D37" s="221"/>
      <c r="E37" s="476" t="s">
        <v>464</v>
      </c>
      <c r="F37" s="483">
        <f>+F34*(1+F35)/F33+F35</f>
        <v>0.12474380000000002</v>
      </c>
      <c r="G37" s="221"/>
      <c r="H37" s="484" t="s">
        <v>460</v>
      </c>
      <c r="I37" s="485">
        <f>+I33*I35</f>
        <v>1.3600000000000003E-4</v>
      </c>
      <c r="J37" s="351"/>
    </row>
    <row r="38" spans="2:10">
      <c r="B38" s="7"/>
      <c r="D38" s="221"/>
      <c r="E38" s="7"/>
      <c r="G38" s="221"/>
      <c r="J38" s="221"/>
    </row>
    <row r="39" spans="2:10">
      <c r="B39" s="7"/>
      <c r="D39" s="221"/>
      <c r="E39" s="7"/>
      <c r="G39" s="221"/>
      <c r="J39" s="221"/>
    </row>
    <row r="40" spans="2:10">
      <c r="B40" s="7"/>
      <c r="D40" s="221"/>
      <c r="E40" s="7"/>
      <c r="G40" s="221"/>
      <c r="J40" s="221"/>
    </row>
    <row r="41" spans="2:10" ht="13" thickBot="1">
      <c r="B41" s="22"/>
      <c r="C41" s="23"/>
      <c r="D41" s="351"/>
      <c r="E41" s="23"/>
      <c r="F41" s="23"/>
      <c r="G41" s="23"/>
      <c r="H41" s="23"/>
      <c r="I41" s="23"/>
      <c r="J41" s="351"/>
    </row>
    <row r="44" spans="2:10" ht="20">
      <c r="C44" s="487"/>
      <c r="D44" s="487"/>
      <c r="E44" s="487"/>
      <c r="F44" s="487"/>
    </row>
    <row r="45" spans="2:10" ht="20">
      <c r="C45" s="487"/>
      <c r="D45" s="487"/>
      <c r="E45" s="487"/>
      <c r="F45" s="487"/>
    </row>
    <row r="46" spans="2:10" ht="20">
      <c r="C46" s="487"/>
      <c r="D46" s="487"/>
      <c r="E46" s="487"/>
      <c r="F46" s="487"/>
    </row>
    <row r="47" spans="2:10" ht="20">
      <c r="C47" s="487"/>
      <c r="D47" s="487"/>
      <c r="E47" s="487"/>
      <c r="F47" s="487"/>
      <c r="G47" s="454"/>
      <c r="H47" s="487" t="s">
        <v>490</v>
      </c>
      <c r="I47" s="489">
        <f>+'Stato patrimoniale'!F73</f>
        <v>2.2143187408577087E-2</v>
      </c>
    </row>
    <row r="48" spans="2:10" ht="20">
      <c r="C48" s="487" t="s">
        <v>467</v>
      </c>
      <c r="D48" s="488">
        <f>+'Stato patrimoniale'!D45-'Stato patrimoniale'!H24</f>
        <v>4826216</v>
      </c>
      <c r="E48" s="487" t="s">
        <v>469</v>
      </c>
      <c r="F48" s="490">
        <f>+'Stato patrimoniale'!D73</f>
        <v>3542602</v>
      </c>
      <c r="G48" s="454"/>
      <c r="H48" s="487" t="s">
        <v>481</v>
      </c>
      <c r="I48" s="489">
        <f>+L12</f>
        <v>0.13650000000000001</v>
      </c>
    </row>
    <row r="49" spans="3:9" ht="20">
      <c r="C49" s="487" t="s">
        <v>468</v>
      </c>
      <c r="D49" s="488">
        <f>+'Stato patrimoniale'!D65-'Stato patrimoniale'!H47</f>
        <v>1326511</v>
      </c>
      <c r="E49" s="487" t="s">
        <v>141</v>
      </c>
      <c r="F49" s="490">
        <f>+'Stato patrimoniale'!D74</f>
        <v>2610125</v>
      </c>
      <c r="G49" s="454"/>
      <c r="H49" s="487" t="s">
        <v>464</v>
      </c>
      <c r="I49" s="489">
        <f>+'Stato patrimoniale'!G75</f>
        <v>7.6119901386815972E-2</v>
      </c>
    </row>
    <row r="50" spans="3:9" ht="20">
      <c r="C50" s="487" t="s">
        <v>148</v>
      </c>
      <c r="D50" s="488">
        <f>SUM(D48:D49)</f>
        <v>6152727</v>
      </c>
      <c r="E50" s="487"/>
      <c r="F50" s="490">
        <f>SUM(F48:F49)</f>
        <v>6152727</v>
      </c>
      <c r="G50" s="454"/>
      <c r="H50" s="487"/>
    </row>
    <row r="51" spans="3:9" ht="20">
      <c r="C51" s="487"/>
      <c r="D51" s="489"/>
      <c r="E51" s="487"/>
      <c r="F51" s="487"/>
      <c r="G51" s="454"/>
    </row>
    <row r="52" spans="3:9" ht="20">
      <c r="C52" s="487"/>
      <c r="D52" s="487"/>
      <c r="E52" s="487"/>
      <c r="F52" s="487"/>
      <c r="G52" s="454"/>
      <c r="H52" s="490"/>
    </row>
    <row r="53" spans="3:9" ht="20">
      <c r="C53" s="487" t="s">
        <v>177</v>
      </c>
      <c r="D53" s="488">
        <f>+'conto economico va'!B14</f>
        <v>5946826</v>
      </c>
      <c r="E53" s="487"/>
      <c r="F53" s="487"/>
      <c r="G53" s="454"/>
    </row>
    <row r="54" spans="3:9" ht="20">
      <c r="C54" s="487" t="s">
        <v>470</v>
      </c>
      <c r="D54" s="488">
        <f>+'conto economico va'!B19+'conto economico va'!B53</f>
        <v>5517183</v>
      </c>
      <c r="E54" s="487"/>
      <c r="F54" s="487"/>
      <c r="G54" s="454"/>
    </row>
    <row r="55" spans="3:9" ht="20">
      <c r="C55" s="487" t="s">
        <v>476</v>
      </c>
      <c r="D55" s="488">
        <f>+D53-D54</f>
        <v>429643</v>
      </c>
      <c r="E55" s="487"/>
      <c r="F55" s="487"/>
      <c r="G55" s="454"/>
    </row>
    <row r="56" spans="3:9" ht="20">
      <c r="C56" s="487" t="s">
        <v>471</v>
      </c>
      <c r="D56" s="488">
        <f>+'conto economico va'!B63</f>
        <v>312589</v>
      </c>
      <c r="E56" s="487"/>
      <c r="F56" s="487"/>
      <c r="G56" s="454"/>
    </row>
    <row r="57" spans="3:9" ht="20">
      <c r="C57" s="487" t="s">
        <v>472</v>
      </c>
      <c r="D57" s="488">
        <f>+D55-D56</f>
        <v>117054</v>
      </c>
      <c r="E57" s="487"/>
      <c r="F57" s="487"/>
      <c r="G57" s="454"/>
    </row>
    <row r="58" spans="3:9" ht="20">
      <c r="C58" s="487" t="s">
        <v>473</v>
      </c>
      <c r="D58" s="488">
        <f>+'conto economico va'!B70</f>
        <v>-160091</v>
      </c>
      <c r="E58" s="487"/>
      <c r="F58" s="487"/>
      <c r="G58" s="454"/>
    </row>
    <row r="59" spans="3:9" ht="20">
      <c r="C59" s="487" t="s">
        <v>474</v>
      </c>
      <c r="D59" s="488">
        <f>+'conto economico va'!B77</f>
        <v>113621</v>
      </c>
      <c r="F59" s="454"/>
      <c r="G59" s="454"/>
    </row>
    <row r="60" spans="3:9" ht="20">
      <c r="C60" s="487" t="s">
        <v>95</v>
      </c>
      <c r="D60" s="488">
        <f>+D57+D58+D59</f>
        <v>70584</v>
      </c>
      <c r="E60" s="454" t="s">
        <v>220</v>
      </c>
      <c r="F60" s="454"/>
      <c r="G60" s="454"/>
    </row>
    <row r="61" spans="3:9" ht="20">
      <c r="C61" s="454" t="s">
        <v>475</v>
      </c>
      <c r="D61" s="488">
        <f>+'conto economico va'!B85+'conto economico va'!B86</f>
        <v>-50046</v>
      </c>
      <c r="E61" s="491">
        <f>-(D61/(D57+D58+D59))</f>
        <v>0.70902754165249915</v>
      </c>
      <c r="F61" s="454"/>
      <c r="G61" s="454"/>
    </row>
    <row r="62" spans="3:9" ht="20">
      <c r="C62" s="487" t="s">
        <v>137</v>
      </c>
      <c r="D62" s="488">
        <f>+D60+D61</f>
        <v>20538</v>
      </c>
      <c r="E62" s="486"/>
      <c r="F62" s="454"/>
      <c r="G62" s="454"/>
    </row>
    <row r="63" spans="3:9" ht="20">
      <c r="C63" s="454"/>
      <c r="D63" s="488"/>
      <c r="E63" s="454"/>
      <c r="F63" s="454"/>
      <c r="G63" s="454"/>
    </row>
    <row r="64" spans="3:9" ht="18">
      <c r="C64" s="454"/>
      <c r="D64" s="454"/>
      <c r="E64" s="454"/>
      <c r="F64" s="454"/>
      <c r="G64" s="454"/>
    </row>
    <row r="65" spans="2:9" ht="18">
      <c r="C65" s="454" t="s">
        <v>477</v>
      </c>
      <c r="D65" s="454"/>
      <c r="E65" s="454" t="s">
        <v>480</v>
      </c>
      <c r="F65" s="454"/>
      <c r="G65" s="454"/>
      <c r="H65" s="454" t="s">
        <v>484</v>
      </c>
    </row>
    <row r="66" spans="2:9" ht="18">
      <c r="C66" s="454"/>
      <c r="D66" s="454"/>
      <c r="E66" s="454"/>
      <c r="F66" s="454"/>
      <c r="G66" s="454"/>
    </row>
    <row r="67" spans="2:9" ht="20">
      <c r="C67" s="454" t="s">
        <v>224</v>
      </c>
      <c r="D67" s="488">
        <f>+D62</f>
        <v>20538</v>
      </c>
      <c r="E67" s="454" t="s">
        <v>479</v>
      </c>
      <c r="F67" s="488">
        <f>+(D57+D59)*(1-E61)</f>
        <v>67120.07182930976</v>
      </c>
      <c r="H67" s="454" t="s">
        <v>479</v>
      </c>
      <c r="I67" s="488">
        <f>+(D57+D59)*(1-E61)</f>
        <v>67120.07182930976</v>
      </c>
    </row>
    <row r="68" spans="2:9" ht="20">
      <c r="C68" s="454" t="s">
        <v>471</v>
      </c>
      <c r="D68" s="488">
        <f>+D56</f>
        <v>312589</v>
      </c>
      <c r="E68" s="454" t="s">
        <v>471</v>
      </c>
      <c r="F68" s="488">
        <f>+D56</f>
        <v>312589</v>
      </c>
      <c r="H68" s="454" t="s">
        <v>485</v>
      </c>
      <c r="I68" s="488">
        <f>+(D50*I49)*(1-E61)</f>
        <v>136275.4880030177</v>
      </c>
    </row>
    <row r="69" spans="2:9" ht="20">
      <c r="C69" s="454" t="s">
        <v>478</v>
      </c>
      <c r="D69" s="488">
        <f>-D68</f>
        <v>-312589</v>
      </c>
      <c r="E69" s="454" t="s">
        <v>478</v>
      </c>
      <c r="F69" s="488">
        <f>-F68</f>
        <v>-312589</v>
      </c>
      <c r="H69" s="454" t="s">
        <v>487</v>
      </c>
      <c r="I69" s="488">
        <f>+I67-I68</f>
        <v>-69155.416173707941</v>
      </c>
    </row>
    <row r="70" spans="2:9" ht="20">
      <c r="D70" s="492">
        <f>SUM(D67:D69)</f>
        <v>20538</v>
      </c>
      <c r="E70" s="454"/>
      <c r="F70" s="492">
        <f>SUM(F67:F69)</f>
        <v>67120.071829309745</v>
      </c>
      <c r="H70" s="454" t="s">
        <v>486</v>
      </c>
      <c r="I70" s="488">
        <f>+I69/I49</f>
        <v>-908506.38156088989</v>
      </c>
    </row>
    <row r="71" spans="2:9" ht="18">
      <c r="E71" s="454"/>
    </row>
    <row r="72" spans="2:9" ht="20">
      <c r="C72" s="454" t="s">
        <v>482</v>
      </c>
      <c r="D72" s="492">
        <f>+D70/I48</f>
        <v>150461.53846153844</v>
      </c>
      <c r="E72" s="454" t="s">
        <v>483</v>
      </c>
      <c r="F72" s="492">
        <f>+F70/I49</f>
        <v>881767.71917015384</v>
      </c>
      <c r="H72" s="454" t="s">
        <v>488</v>
      </c>
    </row>
    <row r="73" spans="2:9" ht="20">
      <c r="C73" s="454"/>
      <c r="D73" s="488"/>
      <c r="E73" s="454" t="s">
        <v>260</v>
      </c>
      <c r="F73" s="488">
        <f>+F48</f>
        <v>3542602</v>
      </c>
      <c r="H73" s="454" t="s">
        <v>489</v>
      </c>
      <c r="I73" s="488">
        <f>+F49</f>
        <v>2610125</v>
      </c>
    </row>
    <row r="74" spans="2:9" ht="20">
      <c r="D74" s="492">
        <f>SUM(D72:D73)</f>
        <v>150461.53846153844</v>
      </c>
      <c r="F74" s="492">
        <f>+F72-F73</f>
        <v>-2660834.2808298459</v>
      </c>
      <c r="H74" s="454" t="s">
        <v>486</v>
      </c>
      <c r="I74" s="488">
        <f>+I70</f>
        <v>-908506.38156088989</v>
      </c>
    </row>
    <row r="75" spans="2:9" ht="20">
      <c r="I75" s="492">
        <f>SUM(I73:I74)</f>
        <v>1701618.61843911</v>
      </c>
    </row>
    <row r="76" spans="2:9" ht="20">
      <c r="I76" s="492"/>
    </row>
    <row r="77" spans="2:9" ht="20">
      <c r="I77" s="492"/>
    </row>
    <row r="78" spans="2:9" ht="20">
      <c r="D78" s="488">
        <v>1</v>
      </c>
      <c r="E78" s="488">
        <v>2</v>
      </c>
      <c r="F78" s="488">
        <v>3</v>
      </c>
      <c r="G78" s="488">
        <v>4</v>
      </c>
      <c r="H78" s="488">
        <v>5</v>
      </c>
      <c r="I78" s="492"/>
    </row>
    <row r="79" spans="2:9" ht="20">
      <c r="B79" s="502">
        <f>+D79/D81</f>
        <v>0.7844027534457485</v>
      </c>
      <c r="C79" s="487" t="s">
        <v>467</v>
      </c>
      <c r="D79" s="488">
        <f>+D48</f>
        <v>4826216</v>
      </c>
      <c r="E79" s="488">
        <f>+E81*$B$79</f>
        <v>5067526.8</v>
      </c>
      <c r="F79" s="488">
        <f>+F81*$B$79</f>
        <v>5320903.1399999997</v>
      </c>
      <c r="G79" s="488">
        <f>+G81*$B$79</f>
        <v>5586948.2970000003</v>
      </c>
      <c r="H79" s="488">
        <f>+H81*$B$79</f>
        <v>5866295.7118500005</v>
      </c>
    </row>
    <row r="80" spans="2:9" ht="20">
      <c r="B80" s="502">
        <f>+D80/D81</f>
        <v>0.21559724655425147</v>
      </c>
      <c r="C80" s="487" t="s">
        <v>468</v>
      </c>
      <c r="D80" s="488">
        <f>+D49</f>
        <v>1326511</v>
      </c>
      <c r="E80" s="488">
        <f>+E81*$B$80</f>
        <v>1392836.5499999998</v>
      </c>
      <c r="F80" s="488">
        <f>+F81*$B$80</f>
        <v>1462478.3774999999</v>
      </c>
      <c r="G80" s="488">
        <f>+G81*$B$80</f>
        <v>1535602.2963749999</v>
      </c>
      <c r="H80" s="488">
        <f>+H81*$B$80</f>
        <v>1612382.4111937503</v>
      </c>
    </row>
    <row r="81" spans="1:8" ht="20">
      <c r="C81" s="487" t="s">
        <v>148</v>
      </c>
      <c r="D81" s="488">
        <f>SUM(D79:D80)</f>
        <v>6152727</v>
      </c>
      <c r="E81" s="488">
        <f>+E87/$D$82</f>
        <v>6460363.3499999996</v>
      </c>
      <c r="F81" s="488">
        <f>+F87/$D$82</f>
        <v>6783381.5175000001</v>
      </c>
      <c r="G81" s="488">
        <f>+G87/$D$82</f>
        <v>7122550.5933750002</v>
      </c>
      <c r="H81" s="488">
        <f>+H87/$D$82</f>
        <v>7478678.1230437513</v>
      </c>
    </row>
    <row r="82" spans="1:8" ht="20">
      <c r="D82" s="501">
        <f>+D87/D81</f>
        <v>0.96653500147170512</v>
      </c>
      <c r="E82" s="488">
        <f>+E81-D81</f>
        <v>307636.34999999963</v>
      </c>
      <c r="F82" s="488">
        <f>+F81-E81</f>
        <v>323018.16750000045</v>
      </c>
      <c r="G82" s="488">
        <f>+G81-F81</f>
        <v>339169.0758750001</v>
      </c>
      <c r="H82" s="488">
        <f>+H81-G81</f>
        <v>356127.52966875117</v>
      </c>
    </row>
    <row r="83" spans="1:8" ht="20">
      <c r="C83" s="487" t="s">
        <v>469</v>
      </c>
      <c r="D83" s="488">
        <f>+F48</f>
        <v>3542602</v>
      </c>
      <c r="E83" s="490">
        <f>+E81-E84</f>
        <v>3837175.8714624252</v>
      </c>
      <c r="F83" s="490">
        <f>+F81-F84</f>
        <v>4146478.4364979728</v>
      </c>
      <c r="G83" s="490">
        <f>+G81-G84</f>
        <v>4471246.1297852974</v>
      </c>
      <c r="H83" s="490">
        <f>+H81-H84</f>
        <v>4812252.2077369895</v>
      </c>
    </row>
    <row r="84" spans="1:8" ht="20">
      <c r="C84" s="487" t="s">
        <v>141</v>
      </c>
      <c r="D84" s="488">
        <f>+F49</f>
        <v>2610125</v>
      </c>
      <c r="E84" s="490">
        <f>+D84+E96</f>
        <v>2623187.4785375744</v>
      </c>
      <c r="F84" s="490">
        <f>+E84+F96</f>
        <v>2636903.0810020273</v>
      </c>
      <c r="G84" s="490">
        <f>+F84+G96</f>
        <v>2651304.4635897027</v>
      </c>
      <c r="H84" s="490">
        <f>+G84+H96</f>
        <v>2666425.9153067619</v>
      </c>
    </row>
    <row r="85" spans="1:8" ht="20">
      <c r="D85" s="488"/>
    </row>
    <row r="86" spans="1:8" ht="20">
      <c r="D86" s="488"/>
    </row>
    <row r="87" spans="1:8" ht="20">
      <c r="A87" s="502"/>
      <c r="B87" s="502"/>
      <c r="C87" s="487" t="s">
        <v>177</v>
      </c>
      <c r="D87" s="488">
        <v>5946826</v>
      </c>
      <c r="E87" s="488">
        <f>+D87*(1+$D$99)</f>
        <v>6244167.2999999998</v>
      </c>
      <c r="F87" s="488">
        <f>+E87*(1+$D$99)</f>
        <v>6556375.665</v>
      </c>
      <c r="G87" s="488">
        <f>+F87*(1+$D$99)</f>
        <v>6884194.4482500004</v>
      </c>
      <c r="H87" s="488">
        <f>+G87*(1+$D$99)</f>
        <v>7228404.1706625009</v>
      </c>
    </row>
    <row r="88" spans="1:8" ht="20">
      <c r="A88" s="502"/>
      <c r="B88" s="502">
        <v>0.91</v>
      </c>
      <c r="C88" s="487" t="s">
        <v>470</v>
      </c>
      <c r="D88" s="488">
        <v>5517183</v>
      </c>
      <c r="E88" s="488">
        <f>+$B$88*E87</f>
        <v>5682192.2429999998</v>
      </c>
      <c r="F88" s="488">
        <f>+$B$88*F87</f>
        <v>5966301.8551500002</v>
      </c>
      <c r="G88" s="488">
        <f>+$B$88*G87</f>
        <v>6264616.9479075009</v>
      </c>
      <c r="H88" s="488">
        <f>+$B$88*H87</f>
        <v>6577847.7953028763</v>
      </c>
    </row>
    <row r="89" spans="1:8" ht="20">
      <c r="A89" s="502"/>
      <c r="B89" s="502"/>
      <c r="C89" s="487" t="s">
        <v>476</v>
      </c>
      <c r="D89" s="488">
        <v>429643</v>
      </c>
      <c r="E89" s="488">
        <f>+E87-E88</f>
        <v>561975.05700000003</v>
      </c>
      <c r="F89" s="488">
        <f>+F87-F88</f>
        <v>590073.80984999985</v>
      </c>
      <c r="G89" s="488">
        <f>+G87-G88</f>
        <v>619577.50034249946</v>
      </c>
      <c r="H89" s="488">
        <f>+H87-H88</f>
        <v>650556.37535962462</v>
      </c>
    </row>
    <row r="90" spans="1:8" ht="20">
      <c r="A90" s="502"/>
      <c r="B90" s="502">
        <f>+D90/D79</f>
        <v>6.4768961853344312E-2</v>
      </c>
      <c r="C90" s="487" t="s">
        <v>471</v>
      </c>
      <c r="D90" s="488">
        <v>312589</v>
      </c>
      <c r="E90" s="488">
        <f>+$B$90*E81</f>
        <v>418431.02737489366</v>
      </c>
      <c r="F90" s="488">
        <f>+$B$90*F81</f>
        <v>439352.57874363835</v>
      </c>
      <c r="G90" s="488">
        <f>+$B$90*G81</f>
        <v>461320.20768082025</v>
      </c>
      <c r="H90" s="488">
        <f>+$B$90*H81</f>
        <v>484386.21806486137</v>
      </c>
    </row>
    <row r="91" spans="1:8" ht="20">
      <c r="A91" s="502"/>
      <c r="B91" s="502"/>
      <c r="C91" s="487" t="s">
        <v>472</v>
      </c>
      <c r="D91" s="488">
        <v>117054</v>
      </c>
      <c r="E91" s="488">
        <f>+E89-E90</f>
        <v>143544.02962510637</v>
      </c>
      <c r="F91" s="488">
        <f>+F89-F90</f>
        <v>150721.23110636149</v>
      </c>
      <c r="G91" s="488">
        <f>+G89-G90</f>
        <v>158257.29266167921</v>
      </c>
      <c r="H91" s="488">
        <f>+H89-H90</f>
        <v>166170.15729476325</v>
      </c>
    </row>
    <row r="92" spans="1:8" ht="20">
      <c r="A92" s="502"/>
      <c r="B92" s="502">
        <v>-0.02</v>
      </c>
      <c r="C92" s="487" t="s">
        <v>473</v>
      </c>
      <c r="D92" s="488">
        <v>-160091</v>
      </c>
      <c r="E92" s="488">
        <f>+E87*$B$92</f>
        <v>-124883.34600000001</v>
      </c>
      <c r="F92" s="488">
        <f>+F87*$B$92</f>
        <v>-131127.51329999999</v>
      </c>
      <c r="G92" s="488">
        <f>+G87*$B$92</f>
        <v>-137683.88896500002</v>
      </c>
      <c r="H92" s="488">
        <f>+H87*$B$92</f>
        <v>-144568.08341325002</v>
      </c>
    </row>
    <row r="93" spans="1:8" ht="20">
      <c r="A93" s="502"/>
      <c r="B93" s="502"/>
      <c r="C93" s="487" t="s">
        <v>493</v>
      </c>
      <c r="D93" s="488">
        <v>113621</v>
      </c>
      <c r="E93" s="488"/>
      <c r="F93" s="488"/>
      <c r="G93" s="488"/>
      <c r="H93" s="488"/>
    </row>
    <row r="94" spans="1:8" ht="20">
      <c r="A94" s="502"/>
      <c r="B94" s="502"/>
      <c r="C94" s="487" t="s">
        <v>95</v>
      </c>
      <c r="D94" s="488">
        <v>70584</v>
      </c>
      <c r="E94" s="488">
        <f>+E91+E92</f>
        <v>18660.683625106365</v>
      </c>
      <c r="F94" s="488">
        <f>+F91+F92</f>
        <v>19593.717806361499</v>
      </c>
      <c r="G94" s="488">
        <f>+G91+G92</f>
        <v>20573.40369667919</v>
      </c>
      <c r="H94" s="488">
        <f>+H91+H92</f>
        <v>21602.073881513235</v>
      </c>
    </row>
    <row r="95" spans="1:8" ht="20">
      <c r="A95" s="502"/>
      <c r="B95" s="502"/>
      <c r="C95" s="454" t="s">
        <v>475</v>
      </c>
      <c r="D95" s="488">
        <v>-50046</v>
      </c>
      <c r="E95" s="488">
        <f>-E94*$D$97</f>
        <v>-5598.2050875319092</v>
      </c>
      <c r="F95" s="488">
        <f>-F94*$D$97</f>
        <v>-5878.1153419084494</v>
      </c>
      <c r="G95" s="488">
        <f>-G94*$D$97</f>
        <v>-6172.0211090037565</v>
      </c>
      <c r="H95" s="488">
        <f>-H94*$D$97</f>
        <v>-6480.6221644539701</v>
      </c>
    </row>
    <row r="96" spans="1:8" ht="20">
      <c r="A96" s="502"/>
      <c r="B96" s="502"/>
      <c r="C96" s="487" t="s">
        <v>137</v>
      </c>
      <c r="D96" s="488">
        <v>20538</v>
      </c>
      <c r="E96" s="488">
        <f>+E94+E95</f>
        <v>13062.478537574456</v>
      </c>
      <c r="F96" s="488">
        <f>+F94+F95</f>
        <v>13715.60246445305</v>
      </c>
      <c r="G96" s="488">
        <f>+G94+G95</f>
        <v>14401.382587675434</v>
      </c>
      <c r="H96" s="488">
        <f>+H94+H95</f>
        <v>15121.451717059266</v>
      </c>
    </row>
    <row r="97" spans="1:8" ht="20">
      <c r="A97" s="502"/>
      <c r="B97" s="502"/>
      <c r="C97" s="487" t="s">
        <v>494</v>
      </c>
      <c r="D97" s="503">
        <v>0.3</v>
      </c>
    </row>
    <row r="99" spans="1:8" ht="20">
      <c r="C99" s="487" t="s">
        <v>492</v>
      </c>
      <c r="D99" s="500">
        <v>0.05</v>
      </c>
      <c r="E99" s="500"/>
      <c r="F99" s="500"/>
      <c r="G99" s="500"/>
      <c r="H99" s="500"/>
    </row>
  </sheetData>
  <mergeCells count="6">
    <mergeCell ref="C3:L3"/>
    <mergeCell ref="C18:L18"/>
    <mergeCell ref="B30:J30"/>
    <mergeCell ref="B31:D31"/>
    <mergeCell ref="E31:G31"/>
    <mergeCell ref="H31:J3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296"/>
  <sheetViews>
    <sheetView showGridLines="0" topLeftCell="A169" zoomScale="170" zoomScaleNormal="170" workbookViewId="0">
      <selection activeCell="A126" sqref="A126:C126"/>
    </sheetView>
  </sheetViews>
  <sheetFormatPr baseColWidth="10" defaultRowHeight="12"/>
  <cols>
    <col min="1" max="3" width="25.33203125" customWidth="1"/>
    <col min="4" max="4" width="15.5" bestFit="1" customWidth="1"/>
    <col min="5" max="5" width="14.6640625" bestFit="1" customWidth="1"/>
    <col min="6" max="6" width="13" bestFit="1" customWidth="1"/>
    <col min="7" max="7" width="14.5" bestFit="1" customWidth="1"/>
    <col min="8" max="9" width="10.83203125" customWidth="1"/>
    <col min="11" max="11" width="29.83203125" bestFit="1" customWidth="1"/>
    <col min="12" max="13" width="11.33203125" bestFit="1" customWidth="1"/>
  </cols>
  <sheetData>
    <row r="1" spans="1:7" ht="18">
      <c r="A1" s="454"/>
      <c r="B1" s="454"/>
    </row>
    <row r="2" spans="1:7" ht="18">
      <c r="A2" s="454">
        <v>1</v>
      </c>
      <c r="B2" s="663" t="s">
        <v>659</v>
      </c>
      <c r="D2" s="454">
        <v>9</v>
      </c>
      <c r="E2" s="663" t="s">
        <v>610</v>
      </c>
    </row>
    <row r="3" spans="1:7" ht="18">
      <c r="A3" s="454">
        <v>2</v>
      </c>
      <c r="B3" s="663" t="s">
        <v>607</v>
      </c>
      <c r="D3" s="454">
        <v>10</v>
      </c>
      <c r="E3" s="663" t="s">
        <v>661</v>
      </c>
    </row>
    <row r="4" spans="1:7" ht="18">
      <c r="A4" s="454">
        <v>3</v>
      </c>
      <c r="B4" s="663" t="s">
        <v>609</v>
      </c>
      <c r="D4" s="454">
        <v>11</v>
      </c>
      <c r="E4" s="663" t="s">
        <v>662</v>
      </c>
    </row>
    <row r="5" spans="1:7" ht="18">
      <c r="A5" s="454">
        <v>4</v>
      </c>
      <c r="B5" s="663" t="s">
        <v>660</v>
      </c>
      <c r="D5" s="454">
        <v>12</v>
      </c>
      <c r="E5" s="663" t="s">
        <v>663</v>
      </c>
    </row>
    <row r="6" spans="1:7" ht="18">
      <c r="A6" s="454">
        <v>5</v>
      </c>
      <c r="B6" s="663" t="s">
        <v>611</v>
      </c>
      <c r="D6" s="454">
        <v>13</v>
      </c>
      <c r="E6" s="663" t="s">
        <v>663</v>
      </c>
    </row>
    <row r="7" spans="1:7" ht="18">
      <c r="A7" s="454">
        <v>6</v>
      </c>
      <c r="B7" s="663" t="s">
        <v>613</v>
      </c>
      <c r="D7" s="454">
        <v>14</v>
      </c>
      <c r="E7" s="663" t="s">
        <v>664</v>
      </c>
    </row>
    <row r="8" spans="1:7" ht="18">
      <c r="A8" s="454">
        <v>7</v>
      </c>
      <c r="B8" s="663" t="s">
        <v>612</v>
      </c>
      <c r="D8" s="454">
        <v>15</v>
      </c>
      <c r="E8" s="663" t="s">
        <v>665</v>
      </c>
    </row>
    <row r="9" spans="1:7" ht="18">
      <c r="A9" s="454">
        <v>8</v>
      </c>
      <c r="B9" s="663" t="s">
        <v>608</v>
      </c>
      <c r="D9" s="454">
        <v>16</v>
      </c>
      <c r="E9" s="663" t="s">
        <v>666</v>
      </c>
    </row>
    <row r="12" spans="1:7" ht="23">
      <c r="A12" s="744" t="s">
        <v>391</v>
      </c>
      <c r="B12" s="744"/>
      <c r="C12" s="744"/>
      <c r="D12" s="744"/>
      <c r="E12" s="744"/>
      <c r="F12" s="744"/>
      <c r="G12" s="744"/>
    </row>
    <row r="13" spans="1:7" ht="18">
      <c r="A13" s="382"/>
    </row>
    <row r="14" spans="1:7" ht="18">
      <c r="A14" s="383" t="s">
        <v>393</v>
      </c>
    </row>
    <row r="16" spans="1:7" ht="13">
      <c r="A16" s="384" t="s">
        <v>391</v>
      </c>
    </row>
    <row r="17" spans="1:20" ht="13" customHeight="1">
      <c r="A17" s="385" t="s">
        <v>395</v>
      </c>
    </row>
    <row r="18" spans="1:20" ht="30">
      <c r="A18" s="386" t="s">
        <v>297</v>
      </c>
      <c r="B18" s="370"/>
      <c r="C18" s="393" t="s">
        <v>433</v>
      </c>
      <c r="D18" s="370"/>
      <c r="E18" s="393" t="s">
        <v>394</v>
      </c>
      <c r="F18" s="394"/>
      <c r="G18" s="393" t="s">
        <v>392</v>
      </c>
      <c r="L18" s="435" t="s">
        <v>417</v>
      </c>
      <c r="M18" s="435" t="s">
        <v>416</v>
      </c>
    </row>
    <row r="19" spans="1:20" ht="14" customHeight="1">
      <c r="A19" s="387"/>
      <c r="B19" s="371"/>
      <c r="C19" s="371"/>
      <c r="D19" s="371"/>
      <c r="E19" s="371"/>
      <c r="K19" s="122" t="s">
        <v>233</v>
      </c>
      <c r="L19" s="294">
        <f>SUM(L20:L27)</f>
        <v>5352618</v>
      </c>
      <c r="M19" s="294">
        <f>SUM(M20:M27)</f>
        <v>5339681</v>
      </c>
    </row>
    <row r="20" spans="1:20" ht="28">
      <c r="A20" s="388" t="s">
        <v>298</v>
      </c>
      <c r="B20" s="372">
        <v>40000</v>
      </c>
      <c r="C20" s="373"/>
      <c r="D20" s="372">
        <v>40000</v>
      </c>
      <c r="E20" s="373"/>
      <c r="F20" s="372">
        <v>40000</v>
      </c>
      <c r="G20" s="374"/>
      <c r="K20" s="106" t="s">
        <v>32</v>
      </c>
      <c r="L20" s="295">
        <f>3471283+311320-13200</f>
        <v>3769403</v>
      </c>
      <c r="M20" s="295">
        <f>3471283+311320+182466-16195</f>
        <v>3948874</v>
      </c>
    </row>
    <row r="21" spans="1:20" ht="13" customHeight="1">
      <c r="A21" s="368"/>
      <c r="B21" s="363"/>
      <c r="C21" s="362"/>
      <c r="D21" s="363"/>
      <c r="E21" s="362"/>
      <c r="F21" s="362"/>
      <c r="K21" s="106" t="s">
        <v>266</v>
      </c>
      <c r="L21" s="295">
        <f>-311320+13200</f>
        <v>-298120</v>
      </c>
      <c r="M21" s="296">
        <f>-115742-311320+16195</f>
        <v>-410867</v>
      </c>
    </row>
    <row r="22" spans="1:20" ht="13">
      <c r="A22" s="362" t="s">
        <v>299</v>
      </c>
      <c r="B22" s="363">
        <v>40000</v>
      </c>
      <c r="C22" s="362"/>
      <c r="D22" s="363">
        <v>40000</v>
      </c>
      <c r="E22" s="362"/>
      <c r="F22" s="362">
        <v>0</v>
      </c>
      <c r="K22" s="106" t="s">
        <v>33</v>
      </c>
      <c r="L22" s="295">
        <f>81332+4122357</f>
        <v>4203689</v>
      </c>
      <c r="M22" s="296">
        <f>4203689+70089</f>
        <v>4273778</v>
      </c>
    </row>
    <row r="23" spans="1:20" ht="12" customHeight="1">
      <c r="A23" s="362"/>
      <c r="B23" s="363"/>
      <c r="C23" s="375">
        <f>+B20</f>
        <v>40000</v>
      </c>
      <c r="D23" s="363"/>
      <c r="E23" s="375">
        <f>+D20</f>
        <v>40000</v>
      </c>
      <c r="F23" s="376"/>
      <c r="G23" s="375">
        <f>+F20</f>
        <v>40000</v>
      </c>
      <c r="K23" s="106" t="s">
        <v>266</v>
      </c>
      <c r="L23" s="295">
        <v>-2459718</v>
      </c>
      <c r="M23" s="296">
        <f>-127253-2459718</f>
        <v>-2586971</v>
      </c>
    </row>
    <row r="24" spans="1:20" ht="14">
      <c r="A24" s="388" t="s">
        <v>300</v>
      </c>
      <c r="B24" s="373"/>
      <c r="C24" s="373"/>
      <c r="D24" s="373"/>
      <c r="E24" s="373"/>
      <c r="F24" s="373"/>
      <c r="G24" s="374"/>
      <c r="K24" s="106" t="s">
        <v>35</v>
      </c>
      <c r="L24" s="295">
        <f>4323+438517</f>
        <v>442840</v>
      </c>
      <c r="M24" s="296">
        <f>442840+6962</f>
        <v>449802</v>
      </c>
    </row>
    <row r="25" spans="1:20" ht="13" customHeight="1">
      <c r="A25" s="368"/>
      <c r="B25" s="362"/>
      <c r="C25" s="362"/>
      <c r="D25" s="362"/>
      <c r="E25" s="362"/>
      <c r="F25" s="362"/>
      <c r="K25" s="106" t="s">
        <v>266</v>
      </c>
      <c r="L25" s="295">
        <v>-323106</v>
      </c>
      <c r="M25" s="297">
        <f>-323106-22617</f>
        <v>-345723</v>
      </c>
    </row>
    <row r="26" spans="1:20" ht="13">
      <c r="A26" s="364" t="s">
        <v>301</v>
      </c>
      <c r="B26" s="365">
        <v>77515</v>
      </c>
      <c r="C26" s="362"/>
      <c r="D26" s="365">
        <v>101201</v>
      </c>
      <c r="E26" s="362"/>
      <c r="F26" s="365">
        <v>261877</v>
      </c>
      <c r="K26" s="106" t="s">
        <v>34</v>
      </c>
      <c r="L26" s="295">
        <f>528+27589</f>
        <v>28117</v>
      </c>
      <c r="M26" s="295">
        <f>527+27589</f>
        <v>28116</v>
      </c>
    </row>
    <row r="27" spans="1:20" ht="12" customHeight="1">
      <c r="A27" s="364"/>
      <c r="B27" s="365"/>
      <c r="C27" s="362"/>
      <c r="D27" s="365"/>
      <c r="E27" s="362"/>
      <c r="F27" s="365"/>
      <c r="K27" s="433" t="s">
        <v>266</v>
      </c>
      <c r="L27" s="304">
        <v>-10487</v>
      </c>
      <c r="M27" s="434">
        <f>-10487-6841</f>
        <v>-17328</v>
      </c>
    </row>
    <row r="28" spans="1:20" ht="13">
      <c r="A28" s="362" t="s">
        <v>302</v>
      </c>
      <c r="B28" s="365">
        <v>31426</v>
      </c>
      <c r="C28" s="362"/>
      <c r="D28" s="365">
        <v>34934</v>
      </c>
      <c r="E28" s="362"/>
      <c r="F28" s="365">
        <v>189519</v>
      </c>
    </row>
    <row r="29" spans="1:20">
      <c r="A29" s="362"/>
      <c r="B29" s="365"/>
      <c r="C29" s="362"/>
      <c r="D29" s="365"/>
      <c r="E29" s="362"/>
      <c r="F29" s="365"/>
      <c r="L29" s="88">
        <f>+L20+L22+L24+L26</f>
        <v>8444049</v>
      </c>
      <c r="M29" s="88">
        <f>+M20+M22+M24+M26</f>
        <v>8700570</v>
      </c>
    </row>
    <row r="30" spans="1:20" ht="13">
      <c r="A30" s="362" t="s">
        <v>303</v>
      </c>
      <c r="B30" s="362"/>
      <c r="C30" s="362"/>
      <c r="D30" s="362"/>
      <c r="E30" s="362"/>
      <c r="F30" s="362"/>
      <c r="L30" s="88">
        <f>+L21+L23+L25+L27</f>
        <v>-3091431</v>
      </c>
      <c r="M30" s="88">
        <f>+M21+M23+M25+M27</f>
        <v>-3360889</v>
      </c>
    </row>
    <row r="31" spans="1:20">
      <c r="A31" s="362"/>
      <c r="B31" s="362"/>
      <c r="C31" s="377">
        <f>+B26-B28</f>
        <v>46089</v>
      </c>
      <c r="D31" s="362"/>
      <c r="E31" s="377">
        <f>+D26-D28</f>
        <v>66267</v>
      </c>
      <c r="F31" s="378"/>
      <c r="G31" s="379">
        <f>+F26-F28</f>
        <v>72358</v>
      </c>
      <c r="L31" s="90"/>
      <c r="M31" s="90"/>
    </row>
    <row r="32" spans="1:20" ht="14">
      <c r="A32" s="362"/>
      <c r="B32" s="362"/>
      <c r="C32" s="365"/>
      <c r="D32" s="362"/>
      <c r="E32" s="365"/>
      <c r="F32" s="365"/>
      <c r="G32" s="361"/>
      <c r="K32" s="126" t="s">
        <v>242</v>
      </c>
      <c r="L32" s="298">
        <f>SUM(L33:L45)</f>
        <v>72358</v>
      </c>
      <c r="M32" s="299">
        <f>SUM(M33:M45)</f>
        <v>66267</v>
      </c>
      <c r="O32" s="745" t="s">
        <v>418</v>
      </c>
      <c r="P32" s="729" t="s">
        <v>419</v>
      </c>
      <c r="Q32" s="729" t="s">
        <v>420</v>
      </c>
      <c r="R32" s="729" t="s">
        <v>421</v>
      </c>
      <c r="S32" s="729" t="s">
        <v>422</v>
      </c>
      <c r="T32" s="747" t="s">
        <v>419</v>
      </c>
    </row>
    <row r="33" spans="1:20" ht="13">
      <c r="A33" s="364" t="s">
        <v>304</v>
      </c>
      <c r="B33" s="365">
        <v>8782310</v>
      </c>
      <c r="C33" s="362"/>
      <c r="D33" s="365">
        <v>8700570</v>
      </c>
      <c r="E33" s="362"/>
      <c r="F33" s="365">
        <v>8444049</v>
      </c>
      <c r="K33" t="s">
        <v>26</v>
      </c>
      <c r="L33" s="295">
        <v>9148</v>
      </c>
      <c r="M33" s="295">
        <v>9148</v>
      </c>
      <c r="O33" s="746"/>
      <c r="P33" s="730"/>
      <c r="Q33" s="730"/>
      <c r="R33" s="730"/>
      <c r="S33" s="730"/>
      <c r="T33" s="748"/>
    </row>
    <row r="34" spans="1:20">
      <c r="A34" s="364"/>
      <c r="B34" s="365"/>
      <c r="C34" s="362"/>
      <c r="D34" s="365"/>
      <c r="E34" s="362"/>
      <c r="F34" s="365"/>
      <c r="K34" t="s">
        <v>31</v>
      </c>
      <c r="L34" s="295"/>
      <c r="M34" s="295">
        <v>-738</v>
      </c>
      <c r="O34" s="746" t="s">
        <v>423</v>
      </c>
      <c r="P34" s="750" t="s">
        <v>431</v>
      </c>
      <c r="Q34" s="730" t="s">
        <v>424</v>
      </c>
      <c r="R34" s="730" t="s">
        <v>424</v>
      </c>
      <c r="S34" s="730" t="s">
        <v>424</v>
      </c>
      <c r="T34" s="737" t="s">
        <v>432</v>
      </c>
    </row>
    <row r="35" spans="1:20" ht="13">
      <c r="A35" s="362" t="s">
        <v>302</v>
      </c>
      <c r="B35" s="365">
        <v>3650960</v>
      </c>
      <c r="C35" s="362"/>
      <c r="D35" s="365">
        <v>3360889</v>
      </c>
      <c r="E35" s="362"/>
      <c r="F35" s="365">
        <v>3091431</v>
      </c>
      <c r="K35" t="s">
        <v>27</v>
      </c>
      <c r="L35" s="295"/>
      <c r="M35" s="296"/>
      <c r="O35" s="749"/>
      <c r="P35" s="751"/>
      <c r="Q35" s="743"/>
      <c r="R35" s="743"/>
      <c r="S35" s="743"/>
      <c r="T35" s="738"/>
    </row>
    <row r="36" spans="1:20" ht="12" customHeight="1">
      <c r="A36" s="362" t="s">
        <v>303</v>
      </c>
      <c r="B36" s="362"/>
      <c r="C36" s="362"/>
      <c r="D36" s="362"/>
      <c r="E36" s="362"/>
      <c r="F36" s="362"/>
      <c r="K36" t="s">
        <v>31</v>
      </c>
      <c r="L36" s="295"/>
      <c r="M36" s="296"/>
      <c r="O36" s="739" t="s">
        <v>425</v>
      </c>
      <c r="P36" s="741">
        <v>9148</v>
      </c>
      <c r="Q36" s="733"/>
      <c r="R36" s="733"/>
      <c r="S36" s="735">
        <v>738</v>
      </c>
      <c r="T36" s="731">
        <f>+P36+Q36-R36-S36</f>
        <v>8410</v>
      </c>
    </row>
    <row r="37" spans="1:20">
      <c r="A37" s="362"/>
      <c r="B37" s="362"/>
      <c r="C37" s="362"/>
      <c r="D37" s="362"/>
      <c r="E37" s="362"/>
      <c r="F37" s="362"/>
      <c r="K37" t="s">
        <v>28</v>
      </c>
      <c r="L37" s="295">
        <v>9773</v>
      </c>
      <c r="M37" s="296">
        <f>9773+15420</f>
        <v>25193</v>
      </c>
      <c r="O37" s="740"/>
      <c r="P37" s="742"/>
      <c r="Q37" s="734"/>
      <c r="R37" s="734"/>
      <c r="S37" s="736"/>
      <c r="T37" s="732"/>
    </row>
    <row r="38" spans="1:20" ht="21" customHeight="1">
      <c r="A38" s="362"/>
      <c r="B38" s="362"/>
      <c r="C38" s="377">
        <f>+B33-B35</f>
        <v>5131350</v>
      </c>
      <c r="D38" s="362"/>
      <c r="E38" s="377">
        <f>+D33-D35</f>
        <v>5339681</v>
      </c>
      <c r="F38" s="378"/>
      <c r="G38" s="377">
        <f>+F33-F35</f>
        <v>5352618</v>
      </c>
      <c r="K38" t="s">
        <v>31</v>
      </c>
      <c r="L38" s="295"/>
      <c r="M38" s="296">
        <v>-11031</v>
      </c>
      <c r="O38" s="739" t="s">
        <v>426</v>
      </c>
      <c r="P38" s="733"/>
      <c r="Q38" s="733"/>
      <c r="R38" s="733"/>
      <c r="S38" s="733"/>
      <c r="T38" s="731">
        <f>+P38+Q38-R38-S38</f>
        <v>0</v>
      </c>
    </row>
    <row r="39" spans="1:20">
      <c r="A39" s="362"/>
      <c r="B39" s="362"/>
      <c r="C39" s="365"/>
      <c r="D39" s="362"/>
      <c r="E39" s="365"/>
      <c r="F39" s="365"/>
      <c r="K39" t="s">
        <v>29</v>
      </c>
      <c r="L39" s="295">
        <v>9956</v>
      </c>
      <c r="M39" s="296">
        <f>9956+3921</f>
        <v>13877</v>
      </c>
      <c r="O39" s="740"/>
      <c r="P39" s="734"/>
      <c r="Q39" s="734"/>
      <c r="R39" s="734"/>
      <c r="S39" s="734"/>
      <c r="T39" s="732"/>
    </row>
    <row r="40" spans="1:20" ht="12" customHeight="1">
      <c r="A40" s="364" t="s">
        <v>305</v>
      </c>
      <c r="B40" s="365">
        <v>2946</v>
      </c>
      <c r="C40" s="362"/>
      <c r="D40" s="365">
        <v>2946</v>
      </c>
      <c r="E40" s="362"/>
      <c r="F40" s="365">
        <v>3293</v>
      </c>
      <c r="K40" t="s">
        <v>31</v>
      </c>
      <c r="L40" s="295"/>
      <c r="M40" s="296">
        <v>-2117</v>
      </c>
      <c r="O40" s="739" t="s">
        <v>427</v>
      </c>
      <c r="P40" s="741">
        <v>9773</v>
      </c>
      <c r="Q40" s="741">
        <v>15420</v>
      </c>
      <c r="R40" s="733"/>
      <c r="S40" s="741">
        <v>11031</v>
      </c>
      <c r="T40" s="731">
        <f>+P40+Q40-R40-S40</f>
        <v>14162</v>
      </c>
    </row>
    <row r="41" spans="1:20">
      <c r="A41" s="364"/>
      <c r="B41" s="365"/>
      <c r="C41" s="362"/>
      <c r="D41" s="365"/>
      <c r="E41" s="362"/>
      <c r="F41" s="365"/>
      <c r="K41" t="s">
        <v>80</v>
      </c>
      <c r="L41" s="295">
        <v>2080</v>
      </c>
      <c r="M41" s="296">
        <f>2080+2080</f>
        <v>4160</v>
      </c>
      <c r="O41" s="740"/>
      <c r="P41" s="742"/>
      <c r="Q41" s="742"/>
      <c r="R41" s="734"/>
      <c r="S41" s="742"/>
      <c r="T41" s="732"/>
    </row>
    <row r="42" spans="1:20" ht="21" customHeight="1">
      <c r="A42" s="362" t="s">
        <v>303</v>
      </c>
      <c r="B42" s="362"/>
      <c r="C42" s="362"/>
      <c r="D42" s="362"/>
      <c r="E42" s="362"/>
      <c r="F42" s="362"/>
      <c r="K42" t="s">
        <v>31</v>
      </c>
      <c r="L42" s="295"/>
      <c r="M42" s="296"/>
      <c r="O42" s="739" t="s">
        <v>428</v>
      </c>
      <c r="P42" s="741">
        <v>9956</v>
      </c>
      <c r="Q42" s="741">
        <v>3921</v>
      </c>
      <c r="R42" s="733"/>
      <c r="S42" s="741">
        <v>2117</v>
      </c>
      <c r="T42" s="731">
        <f>+P42+Q42-R42-S42</f>
        <v>11760</v>
      </c>
    </row>
    <row r="43" spans="1:20">
      <c r="A43" s="362"/>
      <c r="B43" s="362"/>
      <c r="C43" s="377">
        <f>+B40</f>
        <v>2946</v>
      </c>
      <c r="D43" s="362"/>
      <c r="E43" s="377">
        <f>+D40</f>
        <v>2946</v>
      </c>
      <c r="F43" s="377"/>
      <c r="G43" s="377">
        <f>+F40</f>
        <v>3293</v>
      </c>
      <c r="K43" t="s">
        <v>30</v>
      </c>
      <c r="L43" s="295">
        <v>41401</v>
      </c>
      <c r="M43" s="296">
        <f>7422+41401</f>
        <v>48823</v>
      </c>
      <c r="O43" s="740"/>
      <c r="P43" s="742"/>
      <c r="Q43" s="742"/>
      <c r="R43" s="734"/>
      <c r="S43" s="742"/>
      <c r="T43" s="732"/>
    </row>
    <row r="44" spans="1:20" ht="19" customHeight="1">
      <c r="A44" s="362"/>
      <c r="B44" s="362"/>
      <c r="C44" s="365"/>
      <c r="D44" s="362"/>
      <c r="E44" s="365"/>
      <c r="F44" s="365"/>
      <c r="K44" t="s">
        <v>31</v>
      </c>
      <c r="L44" s="295"/>
      <c r="M44" s="296">
        <v>-21048</v>
      </c>
      <c r="O44" s="739" t="s">
        <v>429</v>
      </c>
      <c r="P44" s="741">
        <v>2080</v>
      </c>
      <c r="Q44" s="741">
        <v>2080</v>
      </c>
      <c r="R44" s="733"/>
      <c r="S44" s="733"/>
      <c r="T44" s="731">
        <f>+P44+Q44-R44-S44</f>
        <v>4160</v>
      </c>
    </row>
    <row r="45" spans="1:20" ht="15" thickBot="1">
      <c r="A45" s="388" t="s">
        <v>306</v>
      </c>
      <c r="B45" s="373"/>
      <c r="C45" s="380">
        <f>+C43+C38+C31</f>
        <v>5180385</v>
      </c>
      <c r="D45" s="373"/>
      <c r="E45" s="380">
        <f>+E43+E38+E31</f>
        <v>5408894</v>
      </c>
      <c r="F45" s="380"/>
      <c r="G45" s="381">
        <f>+G43+G38+G31</f>
        <v>5428269</v>
      </c>
      <c r="O45" s="740"/>
      <c r="P45" s="742"/>
      <c r="Q45" s="742"/>
      <c r="R45" s="734"/>
      <c r="S45" s="734"/>
      <c r="T45" s="732"/>
    </row>
    <row r="46" spans="1:20">
      <c r="A46" s="369"/>
      <c r="B46" s="362"/>
      <c r="C46" s="366"/>
      <c r="D46" s="362"/>
      <c r="E46" s="366"/>
      <c r="F46" s="366"/>
      <c r="K46" s="88">
        <f>+L33+L37+L39+L41+L43</f>
        <v>72358</v>
      </c>
      <c r="L46" s="88">
        <f>+M33+M37+M39+M41+M43</f>
        <v>101201</v>
      </c>
      <c r="M46" s="88">
        <f>+N33+N37+N39+N41+N43</f>
        <v>0</v>
      </c>
      <c r="O46" s="739" t="s">
        <v>430</v>
      </c>
      <c r="P46" s="741">
        <v>41401</v>
      </c>
      <c r="Q46" s="741">
        <v>7422</v>
      </c>
      <c r="R46" s="733"/>
      <c r="S46" s="741">
        <v>21048</v>
      </c>
      <c r="T46" s="731">
        <f>+P46+Q46-R46-S46</f>
        <v>27775</v>
      </c>
    </row>
    <row r="47" spans="1:20" ht="14">
      <c r="A47" s="388" t="s">
        <v>307</v>
      </c>
      <c r="B47" s="373"/>
      <c r="C47" s="373"/>
      <c r="D47" s="373"/>
      <c r="E47" s="373"/>
      <c r="F47" s="373"/>
      <c r="G47" s="374"/>
      <c r="L47" s="88">
        <f>+M34+M38+M40+M42+M44</f>
        <v>-34934</v>
      </c>
      <c r="O47" s="740"/>
      <c r="P47" s="742"/>
      <c r="Q47" s="742"/>
      <c r="R47" s="734"/>
      <c r="S47" s="742"/>
      <c r="T47" s="732"/>
    </row>
    <row r="48" spans="1:20" ht="13">
      <c r="A48" s="364" t="s">
        <v>308</v>
      </c>
      <c r="B48" s="362"/>
      <c r="C48" s="377">
        <v>3298965</v>
      </c>
      <c r="D48" s="362"/>
      <c r="E48" s="377">
        <v>3283366</v>
      </c>
      <c r="F48" s="377"/>
      <c r="G48" s="377">
        <v>2969518</v>
      </c>
      <c r="H48" s="93">
        <f>+C124/C48</f>
        <v>1.8026338563761664</v>
      </c>
      <c r="I48" s="93">
        <f>+E124/E48</f>
        <v>1.6915771802473438</v>
      </c>
      <c r="J48" s="93">
        <f>+G124/G48</f>
        <v>1.7536643994075807</v>
      </c>
      <c r="O48" s="752"/>
      <c r="P48" s="754">
        <v>72358</v>
      </c>
      <c r="Q48" s="754">
        <v>28843</v>
      </c>
      <c r="R48" s="756"/>
      <c r="S48" s="754">
        <v>34934</v>
      </c>
      <c r="T48" s="731">
        <f>+P48+Q48-R48-S48</f>
        <v>66267</v>
      </c>
    </row>
    <row r="49" spans="1:20">
      <c r="A49" s="364"/>
      <c r="B49" s="362"/>
      <c r="C49" s="365"/>
      <c r="D49" s="362"/>
      <c r="E49" s="365"/>
      <c r="F49" s="365"/>
      <c r="K49" s="106" t="s">
        <v>229</v>
      </c>
      <c r="L49" s="295">
        <v>72</v>
      </c>
      <c r="M49" s="296">
        <v>72</v>
      </c>
      <c r="O49" s="753"/>
      <c r="P49" s="755"/>
      <c r="Q49" s="755"/>
      <c r="R49" s="757"/>
      <c r="S49" s="755"/>
      <c r="T49" s="758"/>
    </row>
    <row r="50" spans="1:20" ht="13">
      <c r="A50" s="364" t="s">
        <v>309</v>
      </c>
      <c r="B50" s="362"/>
      <c r="C50" s="362"/>
      <c r="D50" s="362"/>
      <c r="E50" s="362"/>
      <c r="F50" s="362"/>
      <c r="K50" s="106" t="s">
        <v>151</v>
      </c>
      <c r="L50" s="295">
        <f>-72+3293</f>
        <v>3221</v>
      </c>
      <c r="M50" s="217">
        <v>2874</v>
      </c>
      <c r="N50" s="88">
        <f>+L50-M50</f>
        <v>347</v>
      </c>
    </row>
    <row r="51" spans="1:20">
      <c r="A51" s="364"/>
      <c r="B51" s="362"/>
      <c r="C51" s="362"/>
      <c r="D51" s="362"/>
      <c r="E51" s="362"/>
      <c r="F51" s="362"/>
      <c r="K51" s="106" t="s">
        <v>158</v>
      </c>
      <c r="L51" s="109">
        <v>9068</v>
      </c>
      <c r="M51" s="217">
        <v>13679</v>
      </c>
    </row>
    <row r="52" spans="1:20" ht="12" customHeight="1">
      <c r="A52" s="362" t="s">
        <v>310</v>
      </c>
      <c r="B52" s="365">
        <f>1871352-40000-43298</f>
        <v>1788054</v>
      </c>
      <c r="C52" s="362"/>
      <c r="D52" s="365">
        <v>1735475</v>
      </c>
      <c r="E52" s="362"/>
      <c r="F52" s="365">
        <v>1501217</v>
      </c>
      <c r="K52" s="735"/>
      <c r="L52" s="741"/>
    </row>
    <row r="53" spans="1:20">
      <c r="A53" s="362"/>
      <c r="B53" s="365"/>
      <c r="C53" s="362"/>
      <c r="D53" s="365"/>
      <c r="E53" s="362"/>
      <c r="F53" s="365"/>
      <c r="K53" s="736"/>
      <c r="L53" s="742"/>
    </row>
    <row r="54" spans="1:20" ht="12" customHeight="1">
      <c r="A54" s="362" t="s">
        <v>311</v>
      </c>
      <c r="B54" s="365">
        <v>17997</v>
      </c>
      <c r="C54" s="362"/>
      <c r="D54" s="365">
        <v>13679</v>
      </c>
      <c r="E54" s="362"/>
      <c r="F54" s="365">
        <v>9068</v>
      </c>
      <c r="K54" s="735"/>
      <c r="L54" s="741"/>
    </row>
    <row r="55" spans="1:20">
      <c r="A55" s="362"/>
      <c r="B55" s="362"/>
      <c r="C55" s="362"/>
      <c r="D55" s="362"/>
      <c r="E55" s="362"/>
      <c r="F55" s="365"/>
      <c r="K55" s="736"/>
      <c r="L55" s="742"/>
    </row>
    <row r="56" spans="1:20">
      <c r="A56" s="362"/>
      <c r="B56" s="362"/>
      <c r="C56" s="377">
        <f>+B52+B54</f>
        <v>1806051</v>
      </c>
      <c r="D56" s="362"/>
      <c r="E56" s="377">
        <f>+D52+D54</f>
        <v>1749154</v>
      </c>
      <c r="F56" s="378"/>
      <c r="G56" s="377">
        <f>+F52+F54</f>
        <v>1510285</v>
      </c>
      <c r="K56" s="735"/>
      <c r="L56" s="741"/>
    </row>
    <row r="57" spans="1:20" ht="26">
      <c r="A57" s="364" t="s">
        <v>396</v>
      </c>
      <c r="B57" s="362"/>
      <c r="C57" s="362"/>
      <c r="D57" s="362"/>
      <c r="E57" s="362"/>
      <c r="F57" s="362"/>
      <c r="K57" s="736"/>
      <c r="L57" s="742"/>
    </row>
    <row r="58" spans="1:20" ht="13">
      <c r="A58" s="364" t="s">
        <v>312</v>
      </c>
      <c r="B58" s="362"/>
      <c r="C58" s="377">
        <v>9258</v>
      </c>
      <c r="D58" s="362"/>
      <c r="E58" s="377">
        <v>24574</v>
      </c>
      <c r="F58" s="377"/>
      <c r="G58" s="377">
        <v>17276</v>
      </c>
      <c r="K58" s="735"/>
      <c r="L58" s="733"/>
    </row>
    <row r="59" spans="1:20">
      <c r="A59" s="364"/>
      <c r="B59" s="362"/>
      <c r="C59" s="365"/>
      <c r="D59" s="362"/>
      <c r="E59" s="365"/>
      <c r="F59" s="365"/>
      <c r="K59" s="736"/>
      <c r="L59" s="734"/>
    </row>
    <row r="60" spans="1:20">
      <c r="A60" s="362"/>
      <c r="B60" s="362"/>
      <c r="C60" s="362"/>
      <c r="D60" s="362"/>
      <c r="E60" s="362"/>
      <c r="F60" s="362"/>
      <c r="K60" s="735"/>
      <c r="L60" s="741"/>
    </row>
    <row r="61" spans="1:20" ht="14" thickBot="1">
      <c r="A61" s="389" t="s">
        <v>313</v>
      </c>
      <c r="B61" s="373"/>
      <c r="C61" s="392">
        <f>+C58+C56+C48</f>
        <v>5114274</v>
      </c>
      <c r="D61" s="373"/>
      <c r="E61" s="392">
        <f>+E58+E56+E48</f>
        <v>5057094</v>
      </c>
      <c r="F61" s="392"/>
      <c r="G61" s="392">
        <f>+G58+G56+G48</f>
        <v>4497079</v>
      </c>
      <c r="K61" s="736"/>
      <c r="L61" s="742"/>
    </row>
    <row r="62" spans="1:20">
      <c r="A62" s="369"/>
      <c r="B62" s="362"/>
      <c r="C62" s="366"/>
      <c r="D62" s="362"/>
      <c r="E62" s="366"/>
      <c r="F62" s="366"/>
      <c r="K62" s="735"/>
      <c r="L62" s="733"/>
    </row>
    <row r="63" spans="1:20" ht="14">
      <c r="A63" s="368" t="s">
        <v>314</v>
      </c>
      <c r="B63" s="362"/>
      <c r="C63" s="377">
        <v>43298</v>
      </c>
      <c r="D63" s="362"/>
      <c r="E63" s="377">
        <v>40368</v>
      </c>
      <c r="F63" s="377"/>
      <c r="G63" s="377">
        <v>35916</v>
      </c>
      <c r="K63" s="759"/>
      <c r="L63" s="760"/>
    </row>
    <row r="64" spans="1:20" ht="13">
      <c r="A64" s="368"/>
      <c r="B64" s="362"/>
      <c r="C64" s="366"/>
      <c r="D64" s="362"/>
      <c r="E64" s="366"/>
      <c r="F64" s="366"/>
      <c r="K64" s="730"/>
      <c r="L64" s="761"/>
    </row>
    <row r="65" spans="1:12" ht="18" thickBot="1">
      <c r="A65" s="403" t="s">
        <v>315</v>
      </c>
      <c r="B65" s="404"/>
      <c r="C65" s="405">
        <f>+C63+C61+C45+C23</f>
        <v>10377957</v>
      </c>
      <c r="D65" s="404"/>
      <c r="E65" s="405">
        <f>+E63+E61+E45+E23</f>
        <v>10546356</v>
      </c>
      <c r="F65" s="405"/>
      <c r="G65" s="405">
        <f>+G63+G61+G45+G23</f>
        <v>10001264</v>
      </c>
      <c r="K65" s="730"/>
      <c r="L65" s="761"/>
    </row>
    <row r="66" spans="1:12" ht="13">
      <c r="A66" s="390"/>
      <c r="B66" s="362"/>
      <c r="C66" s="366"/>
      <c r="D66" s="362"/>
      <c r="E66" s="366"/>
      <c r="F66" s="366"/>
      <c r="K66" s="436"/>
      <c r="L66" s="437"/>
    </row>
    <row r="67" spans="1:12" ht="30">
      <c r="A67" s="395" t="s">
        <v>316</v>
      </c>
      <c r="B67" s="396"/>
      <c r="C67" s="397" t="s">
        <v>394</v>
      </c>
      <c r="D67" s="396"/>
      <c r="E67" s="397" t="s">
        <v>394</v>
      </c>
      <c r="F67" s="398"/>
      <c r="G67" s="397" t="s">
        <v>392</v>
      </c>
    </row>
    <row r="68" spans="1:12" ht="14">
      <c r="A68" s="387"/>
      <c r="B68" s="371"/>
      <c r="C68" s="371"/>
      <c r="D68" s="371"/>
      <c r="E68" s="371"/>
      <c r="K68" s="436"/>
    </row>
    <row r="69" spans="1:12" ht="14">
      <c r="A69" s="388" t="s">
        <v>317</v>
      </c>
      <c r="B69" s="373"/>
      <c r="C69" s="373"/>
      <c r="D69" s="373"/>
      <c r="E69" s="373"/>
      <c r="F69" s="373"/>
      <c r="G69" s="374"/>
    </row>
    <row r="70" spans="1:12" ht="13">
      <c r="A70" s="368"/>
      <c r="B70" s="362"/>
      <c r="C70" s="362"/>
      <c r="D70" s="362"/>
      <c r="E70" s="362"/>
      <c r="F70" s="362"/>
      <c r="K70" s="436"/>
    </row>
    <row r="71" spans="1:12" ht="13">
      <c r="A71" s="364" t="s">
        <v>318</v>
      </c>
      <c r="B71" s="362"/>
      <c r="C71" s="366">
        <v>650000</v>
      </c>
      <c r="D71" s="362"/>
      <c r="E71" s="366">
        <v>650000</v>
      </c>
      <c r="F71" s="366"/>
      <c r="G71" s="401">
        <v>650000</v>
      </c>
      <c r="K71" s="436"/>
      <c r="L71" s="437"/>
    </row>
    <row r="72" spans="1:12">
      <c r="A72" s="364"/>
      <c r="B72" s="362"/>
      <c r="C72" s="366"/>
      <c r="D72" s="362"/>
      <c r="E72" s="366"/>
      <c r="F72" s="366"/>
      <c r="G72" s="401"/>
      <c r="K72" s="438"/>
      <c r="L72" s="439"/>
    </row>
    <row r="73" spans="1:12" ht="26">
      <c r="A73" s="364" t="s">
        <v>319</v>
      </c>
      <c r="B73" s="362"/>
      <c r="C73" s="366">
        <v>331495</v>
      </c>
      <c r="D73" s="362"/>
      <c r="E73" s="366">
        <v>331495</v>
      </c>
      <c r="F73" s="366"/>
      <c r="G73" s="401">
        <v>331495</v>
      </c>
    </row>
    <row r="74" spans="1:12">
      <c r="A74" s="364"/>
      <c r="B74" s="362"/>
      <c r="C74" s="366"/>
      <c r="D74" s="362"/>
      <c r="E74" s="366"/>
      <c r="F74" s="366"/>
      <c r="G74" s="401"/>
    </row>
    <row r="75" spans="1:12" ht="13">
      <c r="A75" s="364" t="s">
        <v>320</v>
      </c>
      <c r="B75" s="362"/>
      <c r="C75" s="366">
        <v>1587565</v>
      </c>
      <c r="D75" s="362"/>
      <c r="E75" s="366">
        <v>1587565</v>
      </c>
      <c r="F75" s="366"/>
      <c r="G75" s="401">
        <v>1587565</v>
      </c>
    </row>
    <row r="76" spans="1:12">
      <c r="A76" s="364"/>
      <c r="B76" s="362"/>
      <c r="C76" s="366"/>
      <c r="D76" s="362"/>
      <c r="E76" s="366"/>
      <c r="F76" s="366"/>
      <c r="G76" s="401"/>
    </row>
    <row r="77" spans="1:12" ht="13">
      <c r="A77" s="364" t="s">
        <v>321</v>
      </c>
      <c r="B77" s="362"/>
      <c r="C77" s="366">
        <v>90246</v>
      </c>
      <c r="D77" s="362"/>
      <c r="E77" s="366">
        <v>89993</v>
      </c>
      <c r="F77" s="366"/>
      <c r="G77" s="401">
        <v>85258</v>
      </c>
    </row>
    <row r="78" spans="1:12">
      <c r="A78" s="364"/>
      <c r="B78" s="362"/>
      <c r="C78" s="366"/>
      <c r="D78" s="362"/>
      <c r="E78" s="366"/>
      <c r="F78" s="366"/>
      <c r="G78" s="237"/>
      <c r="K78" s="439"/>
    </row>
    <row r="79" spans="1:12" ht="13">
      <c r="A79" s="364" t="s">
        <v>322</v>
      </c>
      <c r="B79" s="362"/>
      <c r="C79" s="362"/>
      <c r="D79" s="362"/>
      <c r="E79" s="362"/>
      <c r="F79" s="362"/>
    </row>
    <row r="80" spans="1:12">
      <c r="A80" s="364"/>
      <c r="B80" s="362"/>
      <c r="C80" s="362"/>
      <c r="D80" s="362"/>
      <c r="E80" s="362"/>
      <c r="F80" s="362"/>
    </row>
    <row r="81" spans="1:7" ht="26">
      <c r="A81" s="364" t="s">
        <v>323</v>
      </c>
      <c r="B81" s="362"/>
      <c r="C81" s="362"/>
      <c r="D81" s="362"/>
      <c r="E81" s="362"/>
      <c r="F81" s="362"/>
    </row>
    <row r="82" spans="1:7">
      <c r="A82" s="364"/>
      <c r="B82" s="362"/>
      <c r="C82" s="362"/>
      <c r="D82" s="362"/>
      <c r="E82" s="362"/>
      <c r="F82" s="362"/>
    </row>
    <row r="83" spans="1:7" ht="13">
      <c r="A83" s="364" t="s">
        <v>324</v>
      </c>
      <c r="B83" s="362"/>
      <c r="C83" s="362"/>
      <c r="D83" s="362"/>
      <c r="E83" s="362"/>
      <c r="F83" s="362"/>
    </row>
    <row r="84" spans="1:7">
      <c r="A84" s="364"/>
      <c r="B84" s="362"/>
      <c r="C84" s="362"/>
      <c r="D84" s="362"/>
      <c r="E84" s="362"/>
      <c r="F84" s="362"/>
    </row>
    <row r="85" spans="1:7" ht="13">
      <c r="A85" s="362" t="s">
        <v>325</v>
      </c>
      <c r="B85" s="365">
        <f>2406+66029</f>
        <v>68435</v>
      </c>
      <c r="C85" s="362"/>
      <c r="D85" s="365">
        <v>66029</v>
      </c>
      <c r="E85" s="362"/>
      <c r="F85" s="365">
        <v>66029</v>
      </c>
    </row>
    <row r="86" spans="1:7">
      <c r="A86" s="362"/>
      <c r="B86" s="365"/>
      <c r="C86" s="362"/>
      <c r="D86" s="365"/>
      <c r="E86" s="362"/>
      <c r="F86" s="365"/>
    </row>
    <row r="87" spans="1:7" ht="26">
      <c r="A87" s="362" t="s">
        <v>326</v>
      </c>
      <c r="B87" s="365">
        <v>5628</v>
      </c>
      <c r="C87" s="362"/>
      <c r="D87" s="365">
        <v>5628</v>
      </c>
      <c r="E87" s="362"/>
      <c r="F87" s="365">
        <v>5628</v>
      </c>
    </row>
    <row r="88" spans="1:7">
      <c r="A88" s="362"/>
      <c r="B88" s="365"/>
      <c r="C88" s="362"/>
      <c r="D88" s="365"/>
      <c r="E88" s="362"/>
      <c r="F88" s="365"/>
    </row>
    <row r="89" spans="1:7">
      <c r="A89" s="362"/>
      <c r="B89" s="362"/>
      <c r="C89" s="400">
        <f>+B85+B87</f>
        <v>74063</v>
      </c>
      <c r="D89" s="362"/>
      <c r="E89" s="400">
        <f>+D85+D87</f>
        <v>71657</v>
      </c>
      <c r="F89" s="400"/>
      <c r="G89" s="400">
        <f>+F85+F87</f>
        <v>71657</v>
      </c>
    </row>
    <row r="90" spans="1:7">
      <c r="A90" s="362"/>
      <c r="B90" s="362"/>
      <c r="C90" s="365"/>
      <c r="D90" s="362"/>
      <c r="E90" s="365"/>
      <c r="F90" s="365"/>
    </row>
    <row r="91" spans="1:7" ht="26">
      <c r="A91" s="364" t="s">
        <v>327</v>
      </c>
      <c r="B91" s="362"/>
      <c r="C91" s="365">
        <f>-143782</f>
        <v>-143782</v>
      </c>
      <c r="D91" s="362"/>
      <c r="E91" s="365">
        <v>-146172</v>
      </c>
      <c r="G91" s="365">
        <v>-236155</v>
      </c>
    </row>
    <row r="92" spans="1:7">
      <c r="A92" s="364"/>
      <c r="B92" s="362"/>
      <c r="C92" s="365"/>
      <c r="D92" s="362"/>
      <c r="E92" s="365"/>
      <c r="G92" s="365"/>
    </row>
    <row r="93" spans="1:7" ht="13">
      <c r="A93" s="364" t="s">
        <v>328</v>
      </c>
      <c r="B93" s="362"/>
      <c r="C93" s="365">
        <v>20538</v>
      </c>
      <c r="D93" s="362"/>
      <c r="E93" s="365">
        <v>5048</v>
      </c>
      <c r="G93" s="365">
        <v>94719</v>
      </c>
    </row>
    <row r="94" spans="1:7">
      <c r="A94" s="364"/>
      <c r="B94" s="362"/>
      <c r="C94" s="365"/>
      <c r="D94" s="362"/>
      <c r="E94" s="365"/>
      <c r="F94" s="365"/>
    </row>
    <row r="95" spans="1:7" ht="13">
      <c r="A95" s="364" t="s">
        <v>329</v>
      </c>
      <c r="B95" s="362"/>
      <c r="C95" s="362"/>
      <c r="D95" s="362"/>
      <c r="E95" s="362"/>
      <c r="F95" s="362"/>
      <c r="G95" s="362"/>
    </row>
    <row r="96" spans="1:7">
      <c r="A96" s="364"/>
      <c r="B96" s="362"/>
      <c r="C96" s="362"/>
      <c r="D96" s="362"/>
      <c r="E96" s="362"/>
      <c r="F96" s="362"/>
      <c r="G96" s="362"/>
    </row>
    <row r="97" spans="1:8" ht="13">
      <c r="A97" s="364" t="s">
        <v>330</v>
      </c>
      <c r="B97" s="362"/>
      <c r="C97" s="362"/>
      <c r="D97" s="362"/>
      <c r="E97" s="362"/>
      <c r="F97" s="362"/>
      <c r="G97" s="362"/>
    </row>
    <row r="98" spans="1:8">
      <c r="A98" s="364"/>
      <c r="B98" s="362"/>
      <c r="C98" s="362"/>
      <c r="D98" s="362"/>
      <c r="E98" s="362"/>
      <c r="F98" s="362"/>
    </row>
    <row r="99" spans="1:8" ht="26">
      <c r="A99" s="364" t="s">
        <v>331</v>
      </c>
      <c r="B99" s="362"/>
      <c r="C99" s="362"/>
      <c r="D99" s="362"/>
      <c r="E99" s="362"/>
      <c r="F99" s="362"/>
    </row>
    <row r="100" spans="1:8">
      <c r="A100" s="364"/>
      <c r="B100" s="362"/>
      <c r="C100" s="362"/>
      <c r="D100" s="362"/>
      <c r="E100" s="362"/>
      <c r="F100" s="362"/>
    </row>
    <row r="101" spans="1:8">
      <c r="A101" s="362"/>
      <c r="B101" s="362"/>
      <c r="C101" s="362"/>
      <c r="D101" s="362"/>
      <c r="E101" s="362"/>
      <c r="F101" s="362"/>
    </row>
    <row r="102" spans="1:8" ht="14" thickBot="1">
      <c r="A102" s="389" t="s">
        <v>332</v>
      </c>
      <c r="B102" s="373"/>
      <c r="C102" s="392">
        <f>+C89+C77+C75+C73+C71+C91+C93</f>
        <v>2610125</v>
      </c>
      <c r="D102" s="373"/>
      <c r="E102" s="392">
        <f>+E89+E77+E75+E73+E71+E91+E93</f>
        <v>2589586</v>
      </c>
      <c r="F102" s="399"/>
      <c r="G102" s="392">
        <f>+G89+G77+G75+G73+G71+G91+G93</f>
        <v>2584539</v>
      </c>
      <c r="H102" s="392"/>
    </row>
    <row r="103" spans="1:8">
      <c r="A103" s="369"/>
      <c r="B103" s="362"/>
      <c r="C103" s="366"/>
      <c r="D103" s="362"/>
      <c r="E103" s="366"/>
      <c r="F103" s="366"/>
    </row>
    <row r="104" spans="1:8" ht="28">
      <c r="A104" s="388" t="s">
        <v>333</v>
      </c>
      <c r="B104" s="373"/>
      <c r="C104" s="411">
        <v>26428</v>
      </c>
      <c r="D104" s="373"/>
      <c r="E104" s="411">
        <v>24647</v>
      </c>
      <c r="F104" s="411"/>
      <c r="G104" s="411">
        <v>22232</v>
      </c>
    </row>
    <row r="105" spans="1:8" ht="13">
      <c r="A105" s="368"/>
      <c r="B105" s="362"/>
      <c r="C105" s="365"/>
      <c r="D105" s="362"/>
      <c r="E105" s="365"/>
      <c r="F105" s="365"/>
    </row>
    <row r="106" spans="1:8" ht="42">
      <c r="A106" s="388" t="s">
        <v>334</v>
      </c>
      <c r="B106" s="373"/>
      <c r="C106" s="411">
        <v>345738</v>
      </c>
      <c r="D106" s="373"/>
      <c r="E106" s="411">
        <v>308335</v>
      </c>
      <c r="F106" s="411"/>
      <c r="G106" s="411">
        <v>285173</v>
      </c>
    </row>
    <row r="107" spans="1:8" ht="13">
      <c r="A107" s="368"/>
      <c r="B107" s="362"/>
      <c r="C107" s="366"/>
      <c r="D107" s="362"/>
      <c r="E107" s="366"/>
      <c r="F107" s="366"/>
    </row>
    <row r="108" spans="1:8" ht="14">
      <c r="A108" s="388" t="s">
        <v>335</v>
      </c>
      <c r="B108" s="373"/>
      <c r="C108" s="373"/>
      <c r="D108" s="373"/>
      <c r="E108" s="373"/>
      <c r="F108" s="373"/>
      <c r="G108" s="374"/>
    </row>
    <row r="109" spans="1:8" ht="13">
      <c r="A109" s="368"/>
      <c r="B109" s="362"/>
      <c r="C109" s="362"/>
      <c r="D109" s="362"/>
      <c r="E109" s="362"/>
      <c r="F109" s="362"/>
    </row>
    <row r="110" spans="1:8" ht="13">
      <c r="A110" s="362" t="s">
        <v>310</v>
      </c>
      <c r="B110" s="363">
        <v>4330503</v>
      </c>
      <c r="C110" s="363"/>
      <c r="D110" s="363">
        <f>40000+4311863</f>
        <v>4351863</v>
      </c>
      <c r="E110" s="363"/>
      <c r="F110" s="363">
        <f>40000+3747670</f>
        <v>3787670</v>
      </c>
    </row>
    <row r="111" spans="1:8">
      <c r="A111" s="362"/>
      <c r="B111" s="440"/>
      <c r="C111" s="440"/>
      <c r="D111" s="440"/>
      <c r="E111" s="440"/>
      <c r="F111" s="440"/>
    </row>
    <row r="112" spans="1:8" ht="13">
      <c r="A112" s="362" t="s">
        <v>311</v>
      </c>
      <c r="B112" s="295">
        <v>1960835</v>
      </c>
      <c r="C112" s="363"/>
      <c r="D112" s="441" t="s">
        <v>336</v>
      </c>
      <c r="E112" s="363"/>
      <c r="F112" s="363">
        <v>2201006</v>
      </c>
    </row>
    <row r="113" spans="1:12">
      <c r="A113" s="362"/>
      <c r="B113" s="362"/>
      <c r="C113" s="362"/>
      <c r="D113" s="362"/>
      <c r="E113" s="362"/>
      <c r="F113" s="365"/>
    </row>
    <row r="114" spans="1:12">
      <c r="A114" s="362"/>
      <c r="B114" s="362"/>
      <c r="C114" s="377">
        <f>+B110+B112</f>
        <v>6291338</v>
      </c>
      <c r="D114" s="362"/>
      <c r="E114" s="377">
        <f>+D110+D112</f>
        <v>6551875</v>
      </c>
      <c r="F114" s="377"/>
      <c r="G114" s="377">
        <f>+F110+F112</f>
        <v>5988676</v>
      </c>
    </row>
    <row r="115" spans="1:12">
      <c r="A115" s="362"/>
      <c r="B115" s="362"/>
      <c r="C115" s="366"/>
      <c r="D115" s="362"/>
      <c r="E115" s="366"/>
      <c r="F115" s="366"/>
    </row>
    <row r="116" spans="1:12" ht="14">
      <c r="A116" s="368" t="s">
        <v>337</v>
      </c>
      <c r="B116" s="362"/>
      <c r="C116" s="366">
        <v>1104328</v>
      </c>
      <c r="D116" s="362"/>
      <c r="E116" s="366">
        <v>1071913</v>
      </c>
      <c r="G116" s="366">
        <v>1120644</v>
      </c>
    </row>
    <row r="117" spans="1:12" ht="13">
      <c r="A117" s="368"/>
      <c r="B117" s="362"/>
      <c r="C117" s="366"/>
      <c r="D117" s="362"/>
      <c r="E117" s="366"/>
      <c r="F117" s="366"/>
    </row>
    <row r="118" spans="1:12" ht="18" thickBot="1">
      <c r="A118" s="403" t="s">
        <v>338</v>
      </c>
      <c r="B118" s="404"/>
      <c r="C118" s="405">
        <f>+C102+C104+C106+C114+C116</f>
        <v>10377957</v>
      </c>
      <c r="D118" s="404"/>
      <c r="E118" s="405">
        <f>+E102+E104+E106+E114+E116</f>
        <v>10546356</v>
      </c>
      <c r="F118" s="406"/>
      <c r="G118" s="405">
        <f>+G102+G104+G106+G114+G116</f>
        <v>10001264</v>
      </c>
      <c r="J118" s="90"/>
      <c r="K118" s="90"/>
      <c r="L118" s="90"/>
    </row>
    <row r="119" spans="1:12" ht="13">
      <c r="A119" s="390"/>
      <c r="B119" s="362"/>
      <c r="C119" s="366">
        <f>+C118-C65</f>
        <v>0</v>
      </c>
      <c r="D119" s="362"/>
      <c r="E119" s="366">
        <f>+E118-E65</f>
        <v>0</v>
      </c>
      <c r="F119" s="366"/>
      <c r="G119" s="366">
        <f>+G118-G65</f>
        <v>0</v>
      </c>
    </row>
    <row r="120" spans="1:12" ht="13">
      <c r="A120" s="390"/>
      <c r="B120" s="362"/>
      <c r="C120" s="366"/>
      <c r="D120" s="362"/>
      <c r="E120" s="366"/>
      <c r="F120" s="366"/>
    </row>
    <row r="121" spans="1:12" ht="17">
      <c r="A121" s="402" t="s">
        <v>339</v>
      </c>
      <c r="B121" s="407"/>
      <c r="C121" s="408" t="s">
        <v>433</v>
      </c>
      <c r="D121" s="407"/>
      <c r="E121" s="408" t="s">
        <v>394</v>
      </c>
      <c r="F121" s="409"/>
      <c r="G121" s="408" t="s">
        <v>392</v>
      </c>
    </row>
    <row r="122" spans="1:12" ht="14">
      <c r="A122" s="387"/>
      <c r="B122" s="371"/>
      <c r="C122" s="371"/>
      <c r="D122" s="371"/>
      <c r="E122" s="371"/>
    </row>
    <row r="123" spans="1:12" ht="23" customHeight="1">
      <c r="A123" s="388" t="s">
        <v>340</v>
      </c>
      <c r="B123" s="373"/>
      <c r="C123" s="373"/>
      <c r="D123" s="373"/>
      <c r="E123" s="373"/>
      <c r="F123" s="373"/>
      <c r="G123" s="374"/>
    </row>
    <row r="124" spans="1:12" ht="32" customHeight="1">
      <c r="A124" s="364" t="s">
        <v>397</v>
      </c>
      <c r="B124" s="365"/>
      <c r="C124" s="365">
        <v>5946826</v>
      </c>
      <c r="D124" s="362"/>
      <c r="E124" s="365">
        <v>5554067</v>
      </c>
      <c r="G124" s="365">
        <v>5207538</v>
      </c>
    </row>
    <row r="125" spans="1:12">
      <c r="A125" s="364"/>
      <c r="B125" s="362"/>
      <c r="C125" s="362"/>
      <c r="D125" s="362"/>
      <c r="E125" s="365"/>
      <c r="G125" s="365"/>
    </row>
    <row r="126" spans="1:12" ht="32" customHeight="1">
      <c r="A126" s="364" t="s">
        <v>398</v>
      </c>
      <c r="B126" s="365"/>
      <c r="C126" s="365">
        <v>32001</v>
      </c>
      <c r="D126" s="362"/>
      <c r="E126" s="365">
        <v>269779</v>
      </c>
      <c r="G126" s="365">
        <v>-76819</v>
      </c>
    </row>
    <row r="127" spans="1:12">
      <c r="A127" s="364"/>
      <c r="B127" s="362"/>
      <c r="C127" s="362"/>
      <c r="D127" s="362"/>
      <c r="E127" s="362"/>
      <c r="F127" s="362"/>
    </row>
    <row r="128" spans="1:12" ht="31" customHeight="1">
      <c r="A128" s="364" t="s">
        <v>399</v>
      </c>
      <c r="B128" s="362"/>
      <c r="C128" s="362"/>
      <c r="D128" s="362"/>
      <c r="E128" s="362"/>
      <c r="F128" s="362"/>
    </row>
    <row r="129" spans="1:7">
      <c r="A129" s="364"/>
      <c r="B129" s="362"/>
      <c r="C129" s="362"/>
      <c r="D129" s="362"/>
      <c r="E129" s="362"/>
      <c r="F129" s="362"/>
    </row>
    <row r="130" spans="1:7" ht="32" customHeight="1">
      <c r="A130" s="364" t="s">
        <v>341</v>
      </c>
      <c r="B130" s="362"/>
      <c r="C130" s="362"/>
      <c r="D130" s="362"/>
      <c r="E130" s="362"/>
      <c r="F130" s="362"/>
    </row>
    <row r="131" spans="1:7">
      <c r="A131" s="364"/>
      <c r="B131" s="362"/>
      <c r="C131" s="362"/>
      <c r="D131" s="362"/>
      <c r="E131" s="362"/>
      <c r="F131" s="362"/>
    </row>
    <row r="132" spans="1:7" ht="13">
      <c r="A132" s="364" t="s">
        <v>342</v>
      </c>
      <c r="B132" s="362"/>
      <c r="C132" s="362"/>
      <c r="D132" s="362"/>
      <c r="E132" s="362"/>
      <c r="F132" s="362"/>
    </row>
    <row r="133" spans="1:7">
      <c r="A133" s="364"/>
      <c r="B133" s="362"/>
      <c r="C133" s="362"/>
      <c r="D133" s="362"/>
      <c r="E133" s="362"/>
      <c r="F133" s="362"/>
    </row>
    <row r="134" spans="1:7" ht="13">
      <c r="A134" s="362" t="s">
        <v>343</v>
      </c>
      <c r="B134" s="365">
        <v>2500</v>
      </c>
      <c r="D134" s="365">
        <v>7379</v>
      </c>
      <c r="F134" s="365">
        <v>12106</v>
      </c>
    </row>
    <row r="135" spans="1:7">
      <c r="A135" s="362"/>
      <c r="B135" s="365"/>
      <c r="D135" s="365"/>
      <c r="F135" s="365"/>
    </row>
    <row r="136" spans="1:7" ht="20" customHeight="1">
      <c r="A136" s="362" t="s">
        <v>344</v>
      </c>
      <c r="B136" s="365">
        <v>90680</v>
      </c>
      <c r="D136" s="365">
        <v>147505</v>
      </c>
      <c r="F136" s="365">
        <v>127254</v>
      </c>
    </row>
    <row r="137" spans="1:7">
      <c r="A137" s="362"/>
      <c r="B137" s="365"/>
      <c r="C137" s="362"/>
      <c r="D137" s="365"/>
      <c r="E137" s="362"/>
      <c r="F137" s="365"/>
    </row>
    <row r="138" spans="1:7" ht="31" customHeight="1">
      <c r="A138" s="362" t="s">
        <v>345</v>
      </c>
      <c r="B138" s="362"/>
      <c r="C138" s="362"/>
      <c r="D138" s="362"/>
      <c r="E138" s="362"/>
      <c r="F138" s="362"/>
    </row>
    <row r="139" spans="1:7" s="237" customFormat="1">
      <c r="A139" s="367"/>
      <c r="B139" s="367"/>
      <c r="C139" s="410">
        <f>+B134+B136</f>
        <v>93180</v>
      </c>
      <c r="D139" s="367"/>
      <c r="E139" s="410">
        <f>+D134+D136</f>
        <v>154884</v>
      </c>
      <c r="F139" s="410"/>
      <c r="G139" s="410">
        <f>+F134+F136</f>
        <v>139360</v>
      </c>
    </row>
    <row r="140" spans="1:7">
      <c r="A140" s="362"/>
      <c r="B140" s="362"/>
      <c r="C140" s="365"/>
      <c r="D140" s="362"/>
      <c r="E140" s="365"/>
      <c r="F140" s="365"/>
    </row>
    <row r="141" spans="1:7" ht="21" customHeight="1" thickBot="1">
      <c r="A141" s="389" t="s">
        <v>346</v>
      </c>
      <c r="B141" s="373"/>
      <c r="C141" s="392">
        <f>+C139+C126+C124</f>
        <v>6072007</v>
      </c>
      <c r="D141" s="373"/>
      <c r="E141" s="392">
        <f>+E139+E126+E124</f>
        <v>5978730</v>
      </c>
      <c r="F141" s="399"/>
      <c r="G141" s="392">
        <f>+G139+G126+G124</f>
        <v>5270079</v>
      </c>
    </row>
    <row r="142" spans="1:7">
      <c r="A142" s="369"/>
      <c r="B142" s="362"/>
      <c r="C142" s="366"/>
      <c r="D142" s="362"/>
      <c r="E142" s="366"/>
      <c r="F142" s="366"/>
    </row>
    <row r="143" spans="1:7" ht="23" customHeight="1">
      <c r="A143" s="388" t="s">
        <v>347</v>
      </c>
      <c r="B143" s="373"/>
      <c r="C143" s="374"/>
      <c r="D143" s="373"/>
      <c r="E143" s="374"/>
      <c r="F143" s="374"/>
      <c r="G143" s="374"/>
    </row>
    <row r="144" spans="1:7" ht="13">
      <c r="A144" s="368"/>
      <c r="B144" s="362"/>
      <c r="D144" s="362"/>
    </row>
    <row r="145" spans="1:7" ht="32" customHeight="1">
      <c r="A145" s="364" t="s">
        <v>400</v>
      </c>
      <c r="B145" s="364"/>
      <c r="C145" s="90">
        <v>3579780</v>
      </c>
      <c r="D145" s="364"/>
      <c r="E145" s="90">
        <v>3589385</v>
      </c>
      <c r="G145" s="90">
        <v>2906371</v>
      </c>
    </row>
    <row r="146" spans="1:7">
      <c r="A146" s="364"/>
      <c r="B146" s="364"/>
      <c r="D146" s="364"/>
    </row>
    <row r="147" spans="1:7" ht="13">
      <c r="A147" s="364" t="s">
        <v>401</v>
      </c>
      <c r="C147" s="365">
        <v>1171886</v>
      </c>
      <c r="E147" s="365">
        <v>1105016</v>
      </c>
      <c r="G147" s="90">
        <v>1019295</v>
      </c>
    </row>
    <row r="148" spans="1:7">
      <c r="A148" s="364"/>
      <c r="B148" s="362"/>
      <c r="D148" s="362"/>
    </row>
    <row r="149" spans="1:7" ht="21" customHeight="1">
      <c r="A149" s="364" t="s">
        <v>402</v>
      </c>
      <c r="B149" s="362"/>
      <c r="C149" s="88">
        <v>17396</v>
      </c>
      <c r="D149" s="362"/>
      <c r="E149" s="90">
        <v>17113</v>
      </c>
      <c r="G149" s="90">
        <v>16110</v>
      </c>
    </row>
    <row r="150" spans="1:7">
      <c r="A150" s="364"/>
      <c r="B150" s="362"/>
      <c r="D150" s="362"/>
    </row>
    <row r="151" spans="1:7" ht="13">
      <c r="A151" s="364" t="s">
        <v>403</v>
      </c>
      <c r="B151" s="362"/>
      <c r="D151" s="362"/>
    </row>
    <row r="152" spans="1:7">
      <c r="A152" s="364"/>
      <c r="B152" s="362"/>
      <c r="D152" s="362"/>
    </row>
    <row r="153" spans="1:7" ht="13">
      <c r="A153" s="362" t="s">
        <v>348</v>
      </c>
      <c r="B153" s="90">
        <v>542735</v>
      </c>
      <c r="D153" s="90">
        <v>534573</v>
      </c>
      <c r="F153" s="90">
        <v>530350</v>
      </c>
    </row>
    <row r="154" spans="1:7">
      <c r="A154" s="362"/>
    </row>
    <row r="155" spans="1:7" ht="13">
      <c r="A155" s="362" t="s">
        <v>349</v>
      </c>
      <c r="B155" s="88">
        <v>134041</v>
      </c>
      <c r="D155" s="365">
        <v>135540</v>
      </c>
      <c r="F155" s="90">
        <v>140284</v>
      </c>
    </row>
    <row r="156" spans="1:7">
      <c r="A156" s="362"/>
    </row>
    <row r="157" spans="1:7" ht="21" customHeight="1">
      <c r="A157" s="362" t="s">
        <v>350</v>
      </c>
      <c r="B157" s="88">
        <v>40649</v>
      </c>
      <c r="D157" s="365">
        <v>39166</v>
      </c>
      <c r="F157" s="90">
        <v>37133</v>
      </c>
    </row>
    <row r="158" spans="1:7">
      <c r="A158" s="362"/>
      <c r="B158" s="362"/>
      <c r="D158" s="362"/>
    </row>
    <row r="159" spans="1:7" ht="32" customHeight="1">
      <c r="A159" s="362" t="s">
        <v>404</v>
      </c>
      <c r="B159" s="88">
        <v>2148</v>
      </c>
      <c r="D159" s="365">
        <v>2004</v>
      </c>
      <c r="F159">
        <v>170</v>
      </c>
    </row>
    <row r="160" spans="1:7">
      <c r="A160" s="362"/>
      <c r="B160" s="362"/>
      <c r="D160" s="362"/>
    </row>
    <row r="161" spans="1:7" ht="13">
      <c r="A161" s="362" t="s">
        <v>351</v>
      </c>
    </row>
    <row r="162" spans="1:7">
      <c r="A162" s="362"/>
      <c r="B162" s="362"/>
      <c r="C162" s="427">
        <f>SUM(B153:B159)</f>
        <v>719573</v>
      </c>
      <c r="D162" s="362"/>
      <c r="E162" s="427">
        <f>SUM(D153:D159)</f>
        <v>711283</v>
      </c>
      <c r="F162" s="428"/>
      <c r="G162" s="427">
        <f>SUM(F153:F159)</f>
        <v>707937</v>
      </c>
    </row>
    <row r="163" spans="1:7">
      <c r="A163" s="362"/>
      <c r="B163" s="362"/>
      <c r="D163" s="362"/>
    </row>
    <row r="164" spans="1:7">
      <c r="A164" s="362"/>
      <c r="B164" s="362"/>
      <c r="D164" s="362"/>
    </row>
    <row r="165" spans="1:7" ht="21" customHeight="1">
      <c r="A165" s="364" t="s">
        <v>352</v>
      </c>
      <c r="B165" s="362"/>
      <c r="D165" s="362"/>
    </row>
    <row r="166" spans="1:7">
      <c r="A166" s="364"/>
      <c r="B166" s="362"/>
      <c r="D166" s="362"/>
    </row>
    <row r="167" spans="1:7" ht="26">
      <c r="A167" s="362" t="s">
        <v>405</v>
      </c>
      <c r="B167" s="88">
        <v>31427</v>
      </c>
      <c r="D167" s="90">
        <v>34934</v>
      </c>
      <c r="F167" s="90">
        <v>31433</v>
      </c>
    </row>
    <row r="168" spans="1:7" ht="26">
      <c r="A168" s="362" t="s">
        <v>406</v>
      </c>
      <c r="B168" s="88">
        <v>273876</v>
      </c>
      <c r="D168" s="365">
        <v>272453</v>
      </c>
      <c r="F168" s="90">
        <v>268146</v>
      </c>
    </row>
    <row r="169" spans="1:7" ht="26">
      <c r="A169" s="362" t="s">
        <v>353</v>
      </c>
    </row>
    <row r="170" spans="1:7">
      <c r="A170" s="362"/>
    </row>
    <row r="171" spans="1:7" ht="39">
      <c r="A171" s="362" t="s">
        <v>407</v>
      </c>
      <c r="B171" s="214">
        <v>7286</v>
      </c>
      <c r="D171" s="365">
        <v>67281</v>
      </c>
      <c r="F171" s="90">
        <v>18165</v>
      </c>
    </row>
    <row r="172" spans="1:7">
      <c r="A172" s="362"/>
      <c r="B172" s="362"/>
      <c r="D172" s="362"/>
    </row>
    <row r="173" spans="1:7">
      <c r="A173" s="362"/>
      <c r="B173" s="362"/>
      <c r="D173" s="362"/>
    </row>
    <row r="174" spans="1:7">
      <c r="A174" s="362"/>
      <c r="B174" s="362"/>
      <c r="C174" s="427">
        <f>SUM(B167:B171)</f>
        <v>312589</v>
      </c>
      <c r="D174" s="362"/>
      <c r="E174" s="427">
        <f>SUM(D167:D171)</f>
        <v>374668</v>
      </c>
      <c r="F174" s="428"/>
      <c r="G174" s="427">
        <f>SUM(F167:F171)</f>
        <v>317744</v>
      </c>
    </row>
    <row r="175" spans="1:7">
      <c r="A175" s="362"/>
      <c r="B175" s="362"/>
      <c r="D175" s="362"/>
    </row>
    <row r="176" spans="1:7" ht="39">
      <c r="A176" s="364" t="s">
        <v>408</v>
      </c>
      <c r="C176" s="88">
        <v>16402</v>
      </c>
      <c r="E176" s="88">
        <v>-44069</v>
      </c>
      <c r="G176" s="90">
        <v>-40391</v>
      </c>
    </row>
    <row r="177" spans="1:9">
      <c r="A177" s="364"/>
      <c r="B177" s="362"/>
      <c r="D177" s="362"/>
    </row>
    <row r="178" spans="1:9" ht="21" customHeight="1">
      <c r="A178" s="364" t="s">
        <v>354</v>
      </c>
      <c r="B178" s="362"/>
      <c r="D178" s="362"/>
    </row>
    <row r="179" spans="1:9" ht="21" customHeight="1">
      <c r="A179" s="364" t="s">
        <v>355</v>
      </c>
      <c r="B179" s="362"/>
      <c r="D179" s="362"/>
    </row>
    <row r="180" spans="1:9">
      <c r="A180" s="364"/>
      <c r="B180" s="362"/>
      <c r="D180" s="362"/>
    </row>
    <row r="181" spans="1:9" ht="21" customHeight="1">
      <c r="A181" s="364" t="s">
        <v>356</v>
      </c>
      <c r="C181" s="365">
        <v>44147</v>
      </c>
      <c r="E181" s="365">
        <v>39658</v>
      </c>
      <c r="G181" s="90">
        <v>76079</v>
      </c>
    </row>
    <row r="182" spans="1:9">
      <c r="A182" s="364"/>
      <c r="B182" s="362"/>
      <c r="D182" s="362"/>
    </row>
    <row r="183" spans="1:9" ht="19" customHeight="1" thickBot="1">
      <c r="A183" s="389" t="s">
        <v>357</v>
      </c>
      <c r="B183" s="412"/>
      <c r="C183" s="416">
        <f>+C181+C176+C174+C162+C149+C147+C145</f>
        <v>5861773</v>
      </c>
      <c r="D183" s="412"/>
      <c r="E183" s="416">
        <f>+E181+E176+E174+E162+E149+E147+E145</f>
        <v>5793054</v>
      </c>
      <c r="F183" s="417"/>
      <c r="G183" s="416">
        <f>+G181+G176+G174+G162+G149+G147+G145</f>
        <v>5003145</v>
      </c>
    </row>
    <row r="184" spans="1:9" ht="21" customHeight="1">
      <c r="B184" s="367"/>
      <c r="D184" s="367"/>
    </row>
    <row r="185" spans="1:9">
      <c r="A185" s="369"/>
      <c r="B185" s="367"/>
      <c r="D185" s="367"/>
    </row>
    <row r="186" spans="1:9" ht="52" thickBot="1">
      <c r="A186" s="403" t="s">
        <v>358</v>
      </c>
      <c r="B186" s="413"/>
      <c r="C186" s="418">
        <f>+C141-C183</f>
        <v>210234</v>
      </c>
      <c r="D186" s="413">
        <f>+C186*0.3</f>
        <v>63070.2</v>
      </c>
      <c r="E186" s="418">
        <f>+E141-E183</f>
        <v>185676</v>
      </c>
      <c r="F186" s="419"/>
      <c r="G186" s="418">
        <f>+G141-G183</f>
        <v>266934</v>
      </c>
      <c r="I186" s="45"/>
    </row>
    <row r="187" spans="1:9" ht="13">
      <c r="A187" s="368"/>
      <c r="B187" s="366"/>
      <c r="C187" s="366"/>
      <c r="D187" s="366"/>
      <c r="E187" s="366"/>
    </row>
    <row r="188" spans="1:9" ht="23" customHeight="1">
      <c r="A188" s="368" t="s">
        <v>359</v>
      </c>
    </row>
    <row r="189" spans="1:9" ht="13">
      <c r="A189" s="368"/>
    </row>
    <row r="190" spans="1:9" ht="20" customHeight="1">
      <c r="A190" s="364" t="s">
        <v>360</v>
      </c>
    </row>
    <row r="191" spans="1:9">
      <c r="A191" s="364"/>
    </row>
    <row r="192" spans="1:9" ht="13">
      <c r="A192" s="362" t="s">
        <v>361</v>
      </c>
    </row>
    <row r="193" spans="1:1">
      <c r="A193" s="362"/>
    </row>
    <row r="194" spans="1:1" ht="13">
      <c r="A194" s="362" t="s">
        <v>362</v>
      </c>
    </row>
    <row r="195" spans="1:1">
      <c r="A195" s="362"/>
    </row>
    <row r="196" spans="1:1" ht="13">
      <c r="A196" s="362" t="s">
        <v>363</v>
      </c>
    </row>
    <row r="197" spans="1:1">
      <c r="A197" s="362"/>
    </row>
    <row r="198" spans="1:1">
      <c r="A198" s="362"/>
    </row>
    <row r="199" spans="1:1" ht="21" customHeight="1">
      <c r="A199" s="364" t="s">
        <v>364</v>
      </c>
    </row>
    <row r="200" spans="1:1">
      <c r="A200" s="364"/>
    </row>
    <row r="201" spans="1:1" ht="32" customHeight="1">
      <c r="A201" s="362" t="s">
        <v>409</v>
      </c>
    </row>
    <row r="202" spans="1:1">
      <c r="A202" s="362"/>
    </row>
    <row r="203" spans="1:1" ht="13">
      <c r="A203" s="362" t="s">
        <v>361</v>
      </c>
    </row>
    <row r="204" spans="1:1">
      <c r="A204" s="362"/>
    </row>
    <row r="205" spans="1:1" ht="13">
      <c r="A205" s="362" t="s">
        <v>362</v>
      </c>
    </row>
    <row r="206" spans="1:1">
      <c r="A206" s="362"/>
    </row>
    <row r="207" spans="1:1" ht="13">
      <c r="A207" s="362" t="s">
        <v>365</v>
      </c>
    </row>
    <row r="208" spans="1:1">
      <c r="A208" s="362"/>
    </row>
    <row r="209" spans="1:6" ht="13">
      <c r="A209" s="362" t="s">
        <v>363</v>
      </c>
    </row>
    <row r="210" spans="1:6">
      <c r="A210" s="362"/>
    </row>
    <row r="211" spans="1:6" ht="32" customHeight="1">
      <c r="A211" s="362" t="s">
        <v>410</v>
      </c>
    </row>
    <row r="212" spans="1:6">
      <c r="A212" s="362"/>
    </row>
    <row r="213" spans="1:6" ht="32" customHeight="1">
      <c r="A213" s="362" t="s">
        <v>366</v>
      </c>
    </row>
    <row r="214" spans="1:6">
      <c r="A214" s="362"/>
    </row>
    <row r="215" spans="1:6" ht="21" customHeight="1">
      <c r="A215" s="362" t="s">
        <v>411</v>
      </c>
    </row>
    <row r="216" spans="1:6">
      <c r="A216" s="362"/>
    </row>
    <row r="217" spans="1:6" ht="13">
      <c r="A217" s="362" t="s">
        <v>361</v>
      </c>
    </row>
    <row r="218" spans="1:6">
      <c r="A218" s="362"/>
    </row>
    <row r="219" spans="1:6" ht="13">
      <c r="A219" s="362" t="s">
        <v>362</v>
      </c>
    </row>
    <row r="220" spans="1:6">
      <c r="A220" s="362"/>
    </row>
    <row r="221" spans="1:6" ht="13">
      <c r="A221" s="362" t="s">
        <v>365</v>
      </c>
    </row>
    <row r="222" spans="1:6">
      <c r="A222" s="362"/>
    </row>
    <row r="223" spans="1:6" ht="13">
      <c r="A223" s="362" t="s">
        <v>412</v>
      </c>
      <c r="B223" s="88">
        <v>750</v>
      </c>
      <c r="C223" s="421"/>
      <c r="D223" s="422">
        <v>812</v>
      </c>
      <c r="E223" s="421"/>
      <c r="F223" s="420">
        <v>267</v>
      </c>
    </row>
    <row r="224" spans="1:6">
      <c r="A224" s="362"/>
    </row>
    <row r="225" spans="1:7">
      <c r="A225" s="362"/>
      <c r="C225" s="425">
        <f>+B223</f>
        <v>750</v>
      </c>
      <c r="E225" s="425">
        <f>+D223</f>
        <v>812</v>
      </c>
      <c r="F225" s="237"/>
      <c r="G225" s="425">
        <f>+F223</f>
        <v>267</v>
      </c>
    </row>
    <row r="226" spans="1:7" ht="21" customHeight="1">
      <c r="A226" s="364" t="s">
        <v>367</v>
      </c>
    </row>
    <row r="227" spans="1:7">
      <c r="A227" s="364"/>
    </row>
    <row r="228" spans="1:7" ht="13">
      <c r="A228" s="362" t="s">
        <v>361</v>
      </c>
    </row>
    <row r="229" spans="1:7">
      <c r="A229" s="362"/>
    </row>
    <row r="230" spans="1:7" ht="13">
      <c r="A230" s="362" t="s">
        <v>362</v>
      </c>
    </row>
    <row r="231" spans="1:7">
      <c r="A231" s="362"/>
    </row>
    <row r="232" spans="1:7" ht="13">
      <c r="A232" s="362" t="s">
        <v>365</v>
      </c>
    </row>
    <row r="233" spans="1:7">
      <c r="A233" s="362"/>
    </row>
    <row r="234" spans="1:7" ht="13">
      <c r="A234" s="362" t="s">
        <v>412</v>
      </c>
      <c r="B234" s="90">
        <v>156889</v>
      </c>
      <c r="D234" s="90">
        <v>140082</v>
      </c>
      <c r="F234" s="90">
        <v>124166</v>
      </c>
    </row>
    <row r="235" spans="1:7">
      <c r="A235" s="362"/>
      <c r="C235" s="425">
        <f>+B234</f>
        <v>156889</v>
      </c>
      <c r="E235" s="425">
        <f>+D234</f>
        <v>140082</v>
      </c>
      <c r="F235" s="426"/>
      <c r="G235" s="425">
        <f>+F234</f>
        <v>124166</v>
      </c>
    </row>
    <row r="237" spans="1:7" ht="20" customHeight="1">
      <c r="A237" s="364" t="s">
        <v>368</v>
      </c>
      <c r="B237" s="362"/>
      <c r="C237" s="365">
        <v>3202</v>
      </c>
      <c r="D237" s="362"/>
      <c r="E237" s="365">
        <v>1260</v>
      </c>
      <c r="G237" s="362">
        <v>-170</v>
      </c>
    </row>
    <row r="238" spans="1:7">
      <c r="A238" s="362"/>
      <c r="B238" s="362"/>
      <c r="C238" s="362"/>
      <c r="D238" s="362"/>
      <c r="E238" s="362"/>
      <c r="F238" s="362"/>
    </row>
    <row r="239" spans="1:7" ht="31" customHeight="1" thickBot="1">
      <c r="A239" s="389" t="s">
        <v>369</v>
      </c>
      <c r="B239" s="412"/>
      <c r="C239" s="423">
        <f>+C225-C235+C237</f>
        <v>-152937</v>
      </c>
      <c r="D239" s="412"/>
      <c r="E239" s="423">
        <f>+E225-E235+E237</f>
        <v>-138010</v>
      </c>
      <c r="F239" s="424"/>
      <c r="G239" s="423">
        <f>+G225-G235+G237</f>
        <v>-124069</v>
      </c>
    </row>
    <row r="240" spans="1:7">
      <c r="B240" s="362"/>
      <c r="C240" s="366"/>
      <c r="D240" s="362"/>
      <c r="E240" s="366"/>
      <c r="F240" s="366"/>
    </row>
    <row r="241" spans="1:7" ht="35" customHeight="1">
      <c r="A241" s="388" t="s">
        <v>370</v>
      </c>
      <c r="B241" s="373"/>
      <c r="C241" s="373"/>
      <c r="D241" s="373"/>
      <c r="E241" s="373"/>
      <c r="F241" s="373"/>
      <c r="G241" s="374"/>
    </row>
    <row r="242" spans="1:7" ht="13">
      <c r="A242" s="364" t="s">
        <v>371</v>
      </c>
      <c r="B242" s="362"/>
      <c r="C242" s="362"/>
      <c r="D242" s="362"/>
      <c r="E242" s="362"/>
      <c r="F242" s="362"/>
    </row>
    <row r="243" spans="1:7" ht="21" customHeight="1">
      <c r="A243" s="362" t="s">
        <v>413</v>
      </c>
      <c r="B243" s="362"/>
      <c r="C243" s="362"/>
      <c r="D243" s="362"/>
      <c r="E243" s="362"/>
      <c r="F243" s="362"/>
    </row>
    <row r="244" spans="1:7">
      <c r="A244" s="362"/>
      <c r="B244" s="362"/>
      <c r="C244" s="362"/>
      <c r="D244" s="362"/>
      <c r="E244" s="362"/>
      <c r="F244" s="362"/>
    </row>
    <row r="245" spans="1:7" ht="21" customHeight="1">
      <c r="A245" s="362" t="s">
        <v>414</v>
      </c>
      <c r="B245" s="362"/>
      <c r="C245" s="362"/>
      <c r="D245" s="362"/>
      <c r="E245" s="362"/>
      <c r="F245" s="362"/>
    </row>
    <row r="246" spans="1:7">
      <c r="A246" s="362"/>
      <c r="B246" s="362"/>
      <c r="C246" s="362"/>
      <c r="D246" s="362"/>
      <c r="E246" s="362"/>
      <c r="F246" s="362"/>
    </row>
    <row r="247" spans="1:7" ht="26">
      <c r="A247" s="362" t="s">
        <v>372</v>
      </c>
      <c r="B247" s="362"/>
      <c r="C247" s="362"/>
      <c r="D247" s="362"/>
      <c r="E247" s="362"/>
      <c r="F247" s="362"/>
    </row>
    <row r="248" spans="1:7">
      <c r="A248" s="362"/>
      <c r="B248" s="362"/>
      <c r="C248" s="362"/>
      <c r="D248" s="362"/>
      <c r="E248" s="362"/>
      <c r="F248" s="362"/>
    </row>
    <row r="249" spans="1:7" ht="13">
      <c r="A249" s="364" t="s">
        <v>373</v>
      </c>
      <c r="B249" s="362"/>
      <c r="C249" s="362"/>
      <c r="D249" s="362"/>
      <c r="E249" s="362"/>
      <c r="F249" s="362"/>
    </row>
    <row r="250" spans="1:7">
      <c r="A250" s="364"/>
      <c r="B250" s="362"/>
      <c r="C250" s="362"/>
      <c r="D250" s="362"/>
      <c r="E250" s="362"/>
      <c r="F250" s="362"/>
    </row>
    <row r="251" spans="1:7" ht="21" customHeight="1">
      <c r="A251" s="362" t="s">
        <v>413</v>
      </c>
      <c r="B251" s="362"/>
      <c r="C251" s="362"/>
      <c r="D251" s="362"/>
      <c r="E251" s="362"/>
      <c r="F251" s="362"/>
    </row>
    <row r="252" spans="1:7">
      <c r="A252" s="362"/>
      <c r="B252" s="362"/>
      <c r="C252" s="362"/>
      <c r="D252" s="362"/>
      <c r="E252" s="362"/>
      <c r="F252" s="362"/>
    </row>
    <row r="253" spans="1:7" ht="21" customHeight="1">
      <c r="A253" s="362" t="s">
        <v>414</v>
      </c>
      <c r="B253" s="362"/>
      <c r="C253" s="362"/>
      <c r="D253" s="362"/>
      <c r="E253" s="362"/>
      <c r="F253" s="362"/>
    </row>
    <row r="254" spans="1:7">
      <c r="A254" s="362"/>
      <c r="B254" s="362"/>
      <c r="C254" s="362"/>
      <c r="D254" s="362"/>
      <c r="E254" s="362"/>
      <c r="F254" s="362"/>
    </row>
    <row r="255" spans="1:7" ht="26">
      <c r="A255" s="362" t="s">
        <v>372</v>
      </c>
      <c r="B255" s="362"/>
      <c r="C255" s="362"/>
      <c r="D255" s="362"/>
      <c r="E255" s="362"/>
      <c r="F255" s="362"/>
    </row>
    <row r="256" spans="1:7" ht="43" customHeight="1">
      <c r="A256" s="369" t="s">
        <v>374</v>
      </c>
      <c r="B256" s="362"/>
      <c r="C256" s="362"/>
      <c r="D256" s="362"/>
      <c r="E256" s="362"/>
      <c r="F256" s="362"/>
    </row>
    <row r="257" spans="1:7" ht="23" customHeight="1">
      <c r="A257" s="368" t="s">
        <v>375</v>
      </c>
      <c r="B257" s="362"/>
      <c r="C257" s="362"/>
      <c r="D257" s="362"/>
      <c r="E257" s="362"/>
      <c r="F257" s="362"/>
    </row>
    <row r="258" spans="1:7" ht="13">
      <c r="A258" s="368"/>
      <c r="B258" s="362"/>
      <c r="C258" s="362"/>
      <c r="D258" s="362"/>
      <c r="E258" s="362"/>
      <c r="F258" s="362"/>
    </row>
    <row r="259" spans="1:7" ht="13">
      <c r="A259" s="364" t="s">
        <v>376</v>
      </c>
      <c r="B259" s="362"/>
      <c r="C259" s="362"/>
      <c r="D259" s="362"/>
      <c r="E259" s="362"/>
      <c r="F259" s="362"/>
    </row>
    <row r="260" spans="1:7">
      <c r="A260" s="364"/>
      <c r="B260" s="362"/>
      <c r="C260" s="362"/>
      <c r="D260" s="362"/>
      <c r="E260" s="362"/>
      <c r="F260" s="362"/>
    </row>
    <row r="261" spans="1:7" ht="13">
      <c r="A261" s="362" t="s">
        <v>377</v>
      </c>
      <c r="B261" s="362"/>
      <c r="C261" s="362"/>
      <c r="D261" s="362"/>
      <c r="E261" s="362"/>
      <c r="F261" s="362"/>
    </row>
    <row r="262" spans="1:7">
      <c r="A262" s="362"/>
      <c r="B262" s="362"/>
      <c r="C262" s="362"/>
      <c r="D262" s="362"/>
      <c r="E262" s="362"/>
      <c r="F262" s="362"/>
    </row>
    <row r="263" spans="1:7" ht="13">
      <c r="A263" s="362" t="s">
        <v>378</v>
      </c>
      <c r="B263" s="442">
        <v>13336</v>
      </c>
      <c r="C263" s="362"/>
      <c r="D263" s="365">
        <v>13336</v>
      </c>
      <c r="E263" s="362"/>
      <c r="F263" s="365">
        <v>12667</v>
      </c>
    </row>
    <row r="264" spans="1:7">
      <c r="A264" s="362"/>
      <c r="B264" s="365"/>
      <c r="C264" s="362"/>
      <c r="D264" s="365"/>
      <c r="E264" s="362"/>
      <c r="F264" s="365"/>
    </row>
    <row r="265" spans="1:7" ht="32" customHeight="1">
      <c r="A265" s="362" t="s">
        <v>379</v>
      </c>
      <c r="B265" s="362">
        <v>1</v>
      </c>
      <c r="C265" s="362"/>
      <c r="D265" s="362">
        <v>1</v>
      </c>
      <c r="E265" s="362"/>
      <c r="F265" s="362">
        <v>1</v>
      </c>
    </row>
    <row r="266" spans="1:7">
      <c r="A266" s="362"/>
      <c r="B266" s="362"/>
      <c r="C266" s="362"/>
      <c r="D266" s="362"/>
      <c r="E266" s="362"/>
      <c r="F266" s="362"/>
    </row>
    <row r="267" spans="1:7">
      <c r="A267" s="362"/>
      <c r="B267" s="362"/>
      <c r="C267" s="410">
        <f>+B263+B265</f>
        <v>13337</v>
      </c>
      <c r="D267" s="362"/>
      <c r="E267" s="410">
        <f>+D263+D265</f>
        <v>13337</v>
      </c>
      <c r="F267" s="410"/>
      <c r="G267" s="410">
        <f>+F263+F265</f>
        <v>12668</v>
      </c>
    </row>
    <row r="268" spans="1:7" ht="13">
      <c r="A268" s="364" t="s">
        <v>380</v>
      </c>
      <c r="B268" s="362"/>
      <c r="C268" s="362"/>
      <c r="D268" s="362"/>
      <c r="E268" s="362"/>
      <c r="F268" s="362"/>
    </row>
    <row r="269" spans="1:7">
      <c r="A269" s="364"/>
      <c r="B269" s="362"/>
      <c r="C269" s="362"/>
      <c r="D269" s="362"/>
      <c r="E269" s="362"/>
      <c r="F269" s="362"/>
    </row>
    <row r="270" spans="1:7" ht="21" customHeight="1">
      <c r="A270" s="362" t="s">
        <v>381</v>
      </c>
      <c r="B270" s="362"/>
      <c r="C270" s="362"/>
      <c r="D270" s="362"/>
      <c r="E270" s="362"/>
      <c r="F270" s="362"/>
    </row>
    <row r="271" spans="1:7">
      <c r="A271" s="362"/>
      <c r="B271" s="362"/>
      <c r="C271" s="362"/>
      <c r="D271" s="362"/>
      <c r="E271" s="362"/>
      <c r="F271" s="362"/>
    </row>
    <row r="272" spans="1:7" ht="21" customHeight="1">
      <c r="A272" s="362" t="s">
        <v>382</v>
      </c>
      <c r="B272" s="362">
        <v>92</v>
      </c>
      <c r="C272" s="362"/>
      <c r="D272" s="362">
        <v>92</v>
      </c>
      <c r="E272" s="362"/>
      <c r="F272" s="365">
        <v>4490</v>
      </c>
    </row>
    <row r="273" spans="1:7">
      <c r="A273" s="362"/>
      <c r="B273" s="362"/>
      <c r="C273" s="362"/>
      <c r="D273" s="362"/>
      <c r="E273" s="362"/>
      <c r="F273" s="365"/>
    </row>
    <row r="274" spans="1:7" ht="13">
      <c r="A274" s="362" t="s">
        <v>378</v>
      </c>
      <c r="B274" s="365">
        <v>6758</v>
      </c>
      <c r="C274" s="362"/>
      <c r="D274" s="365">
        <v>6758</v>
      </c>
      <c r="E274" s="362"/>
      <c r="F274" s="365">
        <v>3785</v>
      </c>
    </row>
    <row r="275" spans="1:7">
      <c r="A275" s="362"/>
      <c r="B275" s="365"/>
      <c r="C275" s="362"/>
      <c r="D275" s="365"/>
      <c r="E275" s="362"/>
      <c r="F275" s="365"/>
    </row>
    <row r="276" spans="1:7" ht="32" customHeight="1">
      <c r="A276" s="362" t="s">
        <v>379</v>
      </c>
      <c r="B276" s="362"/>
      <c r="C276" s="362"/>
      <c r="D276" s="362"/>
      <c r="E276" s="362"/>
      <c r="F276" s="362"/>
    </row>
    <row r="277" spans="1:7">
      <c r="A277" s="362"/>
      <c r="B277" s="362"/>
      <c r="C277" s="410">
        <f>+B272+B274</f>
        <v>6850</v>
      </c>
      <c r="D277" s="362"/>
      <c r="E277" s="410">
        <f>+D272+D274</f>
        <v>6850</v>
      </c>
      <c r="F277" s="410"/>
      <c r="G277" s="410">
        <f>+F272+F274</f>
        <v>8275</v>
      </c>
    </row>
    <row r="278" spans="1:7">
      <c r="A278" s="362"/>
      <c r="B278" s="362"/>
      <c r="C278" s="362"/>
      <c r="D278" s="362"/>
      <c r="E278" s="362"/>
      <c r="F278" s="365"/>
    </row>
    <row r="279" spans="1:7" ht="21" customHeight="1">
      <c r="A279" s="389" t="s">
        <v>383</v>
      </c>
      <c r="B279" s="373"/>
      <c r="C279" s="429">
        <f>-C277+C267</f>
        <v>6487</v>
      </c>
      <c r="D279" s="373"/>
      <c r="E279" s="429">
        <f>-E277+E267</f>
        <v>6487</v>
      </c>
      <c r="F279" s="430"/>
      <c r="G279" s="429">
        <f>-G277+G267</f>
        <v>4393</v>
      </c>
    </row>
    <row r="280" spans="1:7">
      <c r="C280" s="366"/>
      <c r="E280" s="366"/>
      <c r="F280" s="366"/>
    </row>
    <row r="281" spans="1:7" ht="17" thickBot="1">
      <c r="A281" s="415" t="s">
        <v>384</v>
      </c>
      <c r="B281" s="414"/>
      <c r="C281" s="431">
        <f>+C186+C239+C279</f>
        <v>63784</v>
      </c>
      <c r="D281" s="414"/>
      <c r="E281" s="431">
        <f>+E186+E239+E279</f>
        <v>54153</v>
      </c>
      <c r="F281" s="432"/>
      <c r="G281" s="431">
        <f>+G186+G239+G279</f>
        <v>147258</v>
      </c>
    </row>
    <row r="283" spans="1:7">
      <c r="A283" s="391" t="s">
        <v>415</v>
      </c>
    </row>
    <row r="285" spans="1:7">
      <c r="A285" t="s">
        <v>385</v>
      </c>
      <c r="B285" s="90">
        <v>70188</v>
      </c>
      <c r="D285" s="90">
        <v>70188</v>
      </c>
      <c r="F285" s="90">
        <v>62437</v>
      </c>
    </row>
    <row r="287" spans="1:7">
      <c r="A287" t="s">
        <v>386</v>
      </c>
      <c r="B287">
        <v>725</v>
      </c>
      <c r="D287">
        <v>725</v>
      </c>
    </row>
    <row r="289" spans="1:7">
      <c r="A289" t="s">
        <v>387</v>
      </c>
      <c r="B289" s="90">
        <v>-21808</v>
      </c>
      <c r="D289" s="90">
        <v>-21808</v>
      </c>
      <c r="F289" s="90">
        <v>-9898</v>
      </c>
    </row>
    <row r="291" spans="1:7">
      <c r="A291" t="s">
        <v>388</v>
      </c>
    </row>
    <row r="293" spans="1:7">
      <c r="A293" t="s">
        <v>389</v>
      </c>
    </row>
    <row r="294" spans="1:7">
      <c r="C294" s="427">
        <f>+B285+B287+B289</f>
        <v>49105</v>
      </c>
      <c r="E294" s="427">
        <f>+D285+D287+D289</f>
        <v>49105</v>
      </c>
      <c r="F294" s="237"/>
      <c r="G294" s="427">
        <f>+F285+F287+F289</f>
        <v>52539</v>
      </c>
    </row>
    <row r="295" spans="1:7" ht="35" customHeight="1">
      <c r="A295" s="403" t="s">
        <v>390</v>
      </c>
      <c r="B295" s="404"/>
      <c r="C295" s="413">
        <f>+C281-C294</f>
        <v>14679</v>
      </c>
      <c r="D295" s="404"/>
      <c r="E295" s="413">
        <f>+E281-E294</f>
        <v>5048</v>
      </c>
      <c r="F295" s="413"/>
      <c r="G295" s="413">
        <f>+G281-G294</f>
        <v>94719</v>
      </c>
    </row>
    <row r="296" spans="1:7" ht="13">
      <c r="A296" s="368"/>
      <c r="B296" s="362"/>
      <c r="C296" s="366"/>
      <c r="D296" s="362"/>
      <c r="E296" s="366"/>
      <c r="F296" s="366"/>
    </row>
  </sheetData>
  <mergeCells count="69">
    <mergeCell ref="K62:K63"/>
    <mergeCell ref="L62:L63"/>
    <mergeCell ref="K64:K65"/>
    <mergeCell ref="L64:L65"/>
    <mergeCell ref="K56:K57"/>
    <mergeCell ref="L56:L57"/>
    <mergeCell ref="K58:K59"/>
    <mergeCell ref="L58:L59"/>
    <mergeCell ref="K60:K61"/>
    <mergeCell ref="L60:L61"/>
    <mergeCell ref="K52:K53"/>
    <mergeCell ref="L52:L53"/>
    <mergeCell ref="K54:K55"/>
    <mergeCell ref="L54:L55"/>
    <mergeCell ref="T46:T47"/>
    <mergeCell ref="O48:O49"/>
    <mergeCell ref="P48:P49"/>
    <mergeCell ref="Q48:Q49"/>
    <mergeCell ref="R48:R49"/>
    <mergeCell ref="S48:S49"/>
    <mergeCell ref="T48:T49"/>
    <mergeCell ref="O46:O47"/>
    <mergeCell ref="P46:P47"/>
    <mergeCell ref="Q46:Q47"/>
    <mergeCell ref="R46:R47"/>
    <mergeCell ref="S46:S47"/>
    <mergeCell ref="O38:O39"/>
    <mergeCell ref="T42:T43"/>
    <mergeCell ref="O44:O45"/>
    <mergeCell ref="P44:P45"/>
    <mergeCell ref="Q44:Q45"/>
    <mergeCell ref="R44:R45"/>
    <mergeCell ref="S44:S45"/>
    <mergeCell ref="T44:T45"/>
    <mergeCell ref="O42:O43"/>
    <mergeCell ref="P42:P43"/>
    <mergeCell ref="Q42:Q43"/>
    <mergeCell ref="R42:R43"/>
    <mergeCell ref="S42:S43"/>
    <mergeCell ref="T38:T39"/>
    <mergeCell ref="O40:O41"/>
    <mergeCell ref="P40:P41"/>
    <mergeCell ref="Q40:Q41"/>
    <mergeCell ref="R40:R41"/>
    <mergeCell ref="S40:S41"/>
    <mergeCell ref="T40:T41"/>
    <mergeCell ref="A12:G12"/>
    <mergeCell ref="O32:O33"/>
    <mergeCell ref="P32:P33"/>
    <mergeCell ref="Q32:Q33"/>
    <mergeCell ref="R32:R33"/>
    <mergeCell ref="T32:T33"/>
    <mergeCell ref="O34:O35"/>
    <mergeCell ref="P34:P35"/>
    <mergeCell ref="P38:P39"/>
    <mergeCell ref="Q38:Q39"/>
    <mergeCell ref="R38:R39"/>
    <mergeCell ref="S38:S39"/>
    <mergeCell ref="O36:O37"/>
    <mergeCell ref="P36:P37"/>
    <mergeCell ref="Q34:Q35"/>
    <mergeCell ref="R34:R35"/>
    <mergeCell ref="S34:S35"/>
    <mergeCell ref="S32:S33"/>
    <mergeCell ref="T36:T37"/>
    <mergeCell ref="Q36:Q37"/>
    <mergeCell ref="R36:R37"/>
    <mergeCell ref="S36:S37"/>
    <mergeCell ref="T34:T35"/>
  </mergeCells>
  <hyperlinks>
    <hyperlink ref="B3" location="'conto economico va'!C4" display="CONTO ECONOMICO A VALORE AGGIUNTO" xr:uid="{6A05FBA1-8936-A446-9E36-70710E657D8D}"/>
    <hyperlink ref="B4" location="'conto economico margine '!C4" display="CONTO ECONOMICO A MARGINE DI CONTRIBUZIONE" xr:uid="{FABEB758-E8FE-B241-9BC7-DD011319572E}"/>
    <hyperlink ref="B6" location="'break even'!C4" display="BREAK EVEN" xr:uid="{B04EAA97-28E9-4743-8B35-E7CA02117381}"/>
    <hyperlink ref="B8" location="'stato patrimoniale'!C4" display="STATO PATRIMONIALE" xr:uid="{E484906F-5617-1C46-BF15-6F01004B7D71}"/>
    <hyperlink ref="B9" location="'rendiconto finanziario'!A1" display="RENDICONTO FINANZIARIO" xr:uid="{CD5765C6-6EA9-2B42-8209-A779FC39AC7E}"/>
    <hyperlink ref="B7" location="Pareto!A1" display="PARETO" xr:uid="{C4D58579-63F9-2546-9F2A-97F4531D1DF5}"/>
    <hyperlink ref="B2" location="'bilancio cee'!A1" display="BILANCIO CEE" xr:uid="{2FC897D7-86B4-1E40-AD9C-5D91801D116F}"/>
    <hyperlink ref="B5" location="'Conto economico RI'!A1" display="CONTO ECONOMICO RI" xr:uid="{873680BC-94B1-A149-8226-ECA33F98C0A5}"/>
    <hyperlink ref="E3" location="'rendiconto OIC'!A1" display="RENDICONTO OIC" xr:uid="{B871B6C2-4659-CC46-B69E-7C2FF052939F}"/>
    <hyperlink ref="E4" location="'flussi di ccn'!A1" display="FLUSSI CCN" xr:uid="{AF875567-8E98-4D42-872B-59170E9B6E66}"/>
    <hyperlink ref="E6" location="'albero redditività'!A1" display="ALBERO REDDITITIVITA'" xr:uid="{025D1E37-4B9F-5748-A5E5-19EC539BA186}"/>
    <hyperlink ref="E7" location="indici!A1" display="INDICI" xr:uid="{4A6BE4F9-8D09-7847-8FEB-5E977F209D87}"/>
    <hyperlink ref="E8" location="'indicatori crisi'!A1" display="INDICI DI CRISI" xr:uid="{5B57A709-5275-9445-A54E-F7A8D44906FA}"/>
    <hyperlink ref="E9" location="valutazione!A1" display="VALUTAZIONE" xr:uid="{5D98CE59-E393-7E4C-A1A6-2D7FA9C6F828}"/>
    <hyperlink ref="E2" location="'rendiconto di liquidità'!A1" display="RENDICONTO DI LIQUIDITA'" xr:uid="{7EBFBEC0-B1D7-2846-8CEC-333DCDA5597B}"/>
    <hyperlink ref="E5" location="'albero redditività'!A1" display="ALBERO REDDITITIVITA'" xr:uid="{B230766A-AB25-6C46-B54E-21E5C0E22649}"/>
  </hyperlinks>
  <pageMargins left="0.75" right="0.75" top="1" bottom="1" header="0.5" footer="0.5"/>
  <pageSetup paperSize="9" orientation="portrait" horizontalDpi="4294967292" verticalDpi="4294967292"/>
  <headerFooter alignWithMargins="0"/>
  <ignoredErrors>
    <ignoredError sqref="G294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FFFF00"/>
    <pageSetUpPr fitToPage="1"/>
  </sheetPr>
  <dimension ref="A1:AI97"/>
  <sheetViews>
    <sheetView showGridLines="0" tabSelected="1" zoomScale="180" zoomScaleNormal="180" workbookViewId="0">
      <selection activeCell="A5" sqref="A5"/>
    </sheetView>
  </sheetViews>
  <sheetFormatPr baseColWidth="10" defaultColWidth="10.6640625" defaultRowHeight="12" outlineLevelRow="1"/>
  <cols>
    <col min="1" max="1" width="41.6640625" style="26" customWidth="1"/>
    <col min="2" max="2" width="11.6640625" style="26" customWidth="1"/>
    <col min="3" max="3" width="11.5" style="26" bestFit="1" customWidth="1"/>
    <col min="4" max="4" width="10" style="26" customWidth="1"/>
    <col min="5" max="5" width="12.6640625" style="320" customWidth="1"/>
    <col min="6" max="6" width="10.33203125" style="26" bestFit="1" customWidth="1"/>
    <col min="7" max="7" width="8" style="26" bestFit="1" customWidth="1"/>
    <col min="8" max="8" width="11.5" style="88" customWidth="1" collapsed="1"/>
    <col min="9" max="9" width="10.33203125" bestFit="1" customWidth="1"/>
    <col min="10" max="10" width="8.33203125" customWidth="1"/>
    <col min="12" max="12" width="13.5" customWidth="1"/>
    <col min="17" max="19" width="10.6640625" customWidth="1"/>
    <col min="20" max="20" width="10.6640625" collapsed="1"/>
    <col min="23" max="23" width="10.6640625" collapsed="1"/>
    <col min="26" max="26" width="10.6640625" collapsed="1"/>
    <col min="29" max="29" width="10.6640625" collapsed="1"/>
    <col min="32" max="32" width="10.6640625" collapsed="1"/>
    <col min="35" max="35" width="10.6640625" collapsed="1"/>
  </cols>
  <sheetData>
    <row r="1" spans="1:12" ht="18">
      <c r="A1" s="454"/>
      <c r="B1" s="454"/>
      <c r="C1"/>
      <c r="D1"/>
      <c r="E1"/>
    </row>
    <row r="2" spans="1:12" ht="18">
      <c r="A2" s="454">
        <v>1</v>
      </c>
      <c r="B2" s="663" t="s">
        <v>659</v>
      </c>
      <c r="C2"/>
      <c r="D2" s="454">
        <v>9</v>
      </c>
      <c r="E2" s="663" t="s">
        <v>610</v>
      </c>
    </row>
    <row r="3" spans="1:12" ht="19" customHeight="1">
      <c r="A3" s="454">
        <v>2</v>
      </c>
      <c r="B3" s="663" t="s">
        <v>607</v>
      </c>
      <c r="C3"/>
      <c r="D3" s="454">
        <v>10</v>
      </c>
      <c r="E3" s="663" t="s">
        <v>661</v>
      </c>
    </row>
    <row r="4" spans="1:12" ht="19" customHeight="1">
      <c r="A4" s="454">
        <v>3</v>
      </c>
      <c r="B4" s="663" t="s">
        <v>609</v>
      </c>
      <c r="C4"/>
      <c r="D4" s="454">
        <v>11</v>
      </c>
      <c r="E4" s="663" t="s">
        <v>662</v>
      </c>
    </row>
    <row r="5" spans="1:12" ht="19" customHeight="1">
      <c r="A5" s="454">
        <v>4</v>
      </c>
      <c r="B5" s="663" t="s">
        <v>660</v>
      </c>
      <c r="C5"/>
      <c r="D5" s="454">
        <v>12</v>
      </c>
      <c r="E5" s="663" t="s">
        <v>663</v>
      </c>
    </row>
    <row r="6" spans="1:12" ht="19" customHeight="1">
      <c r="A6" s="454">
        <v>5</v>
      </c>
      <c r="B6" s="663" t="s">
        <v>611</v>
      </c>
      <c r="C6"/>
      <c r="D6" s="454">
        <v>13</v>
      </c>
      <c r="E6" s="663" t="s">
        <v>663</v>
      </c>
    </row>
    <row r="7" spans="1:12" ht="19" customHeight="1">
      <c r="A7" s="454">
        <v>6</v>
      </c>
      <c r="B7" s="663" t="s">
        <v>613</v>
      </c>
      <c r="C7"/>
      <c r="D7" s="454">
        <v>14</v>
      </c>
      <c r="E7" s="663" t="s">
        <v>664</v>
      </c>
    </row>
    <row r="8" spans="1:12" ht="19" customHeight="1">
      <c r="A8" s="454">
        <v>7</v>
      </c>
      <c r="B8" s="663" t="s">
        <v>612</v>
      </c>
      <c r="C8"/>
      <c r="D8" s="454">
        <v>15</v>
      </c>
      <c r="E8" s="663" t="s">
        <v>665</v>
      </c>
    </row>
    <row r="9" spans="1:12" ht="19" customHeight="1">
      <c r="A9" s="454">
        <v>8</v>
      </c>
      <c r="B9" s="663" t="s">
        <v>608</v>
      </c>
      <c r="C9"/>
      <c r="D9" s="454">
        <v>16</v>
      </c>
      <c r="E9" s="663" t="s">
        <v>666</v>
      </c>
    </row>
    <row r="11" spans="1:12">
      <c r="C11" s="320"/>
      <c r="D11" s="320"/>
      <c r="E11" s="592"/>
      <c r="F11" s="594"/>
    </row>
    <row r="12" spans="1:12" ht="13" thickBot="1">
      <c r="B12" s="497"/>
      <c r="C12" s="497"/>
      <c r="D12" s="320"/>
      <c r="F12" s="593"/>
    </row>
    <row r="13" spans="1:12" s="171" customFormat="1" ht="20" thickBot="1">
      <c r="A13" s="310"/>
      <c r="B13" s="763" t="s">
        <v>434</v>
      </c>
      <c r="C13" s="763"/>
      <c r="D13" s="764"/>
      <c r="E13" s="762" t="s">
        <v>435</v>
      </c>
      <c r="F13" s="763"/>
      <c r="G13" s="764"/>
      <c r="H13" s="762" t="s">
        <v>436</v>
      </c>
      <c r="I13" s="763"/>
      <c r="J13" s="764"/>
    </row>
    <row r="14" spans="1:12" ht="16">
      <c r="A14" s="311" t="s">
        <v>68</v>
      </c>
      <c r="B14" s="624">
        <f>SUM(C15:C18)</f>
        <v>5946826</v>
      </c>
      <c r="C14" s="632"/>
      <c r="D14" s="95">
        <f>+B14/E14-1</f>
        <v>7.0715567529163748E-2</v>
      </c>
      <c r="E14" s="321">
        <f>SUM(F15:F18)</f>
        <v>5554067</v>
      </c>
      <c r="F14" s="158"/>
      <c r="G14" s="95">
        <f>+E14/H14-1</f>
        <v>6.6543729493668602E-2</v>
      </c>
      <c r="H14" s="321">
        <f>SUM(I15:I18)</f>
        <v>5207538</v>
      </c>
      <c r="I14" s="158"/>
      <c r="J14" s="95"/>
      <c r="L14" s="91"/>
    </row>
    <row r="15" spans="1:12">
      <c r="A15" s="312"/>
      <c r="B15" s="625"/>
      <c r="C15" s="633"/>
      <c r="D15" s="8"/>
      <c r="E15" s="38"/>
      <c r="F15" s="13"/>
      <c r="G15" s="8"/>
      <c r="H15" s="38"/>
      <c r="I15" s="13"/>
      <c r="J15" s="8"/>
    </row>
    <row r="16" spans="1:12" hidden="1" outlineLevel="1">
      <c r="A16" s="312" t="s">
        <v>198</v>
      </c>
      <c r="B16" s="626"/>
      <c r="C16" s="39">
        <v>5946826</v>
      </c>
      <c r="D16" s="8"/>
      <c r="E16" s="494"/>
      <c r="F16" s="88">
        <v>5554067</v>
      </c>
      <c r="G16" s="8"/>
      <c r="H16" s="39"/>
      <c r="I16" s="88">
        <v>5207538</v>
      </c>
      <c r="J16" s="8"/>
    </row>
    <row r="17" spans="1:15" hidden="1" collapsed="1">
      <c r="A17" s="312"/>
      <c r="C17" s="634"/>
      <c r="D17" s="640"/>
      <c r="E17" s="638"/>
      <c r="G17" s="640"/>
      <c r="H17" s="39"/>
      <c r="J17" s="8"/>
    </row>
    <row r="18" spans="1:15" s="36" customFormat="1" ht="13" hidden="1" outlineLevel="1">
      <c r="A18" s="312"/>
      <c r="B18" s="88"/>
      <c r="C18" s="39"/>
      <c r="D18" s="641">
        <f>+B19/E19-1</f>
        <v>7.8054444647265964E-2</v>
      </c>
      <c r="E18" s="39"/>
      <c r="F18" s="88"/>
      <c r="G18" s="622">
        <f>+E19/H19-1</f>
        <v>0.10300260396342398</v>
      </c>
      <c r="H18" s="39"/>
      <c r="I18" s="88"/>
      <c r="J18" s="25"/>
    </row>
    <row r="19" spans="1:15" s="36" customFormat="1" ht="16" hidden="1" outlineLevel="1">
      <c r="A19" s="313" t="s">
        <v>221</v>
      </c>
      <c r="B19" s="627">
        <f>SUM(C20:C50)</f>
        <v>4677454</v>
      </c>
      <c r="C19" s="41"/>
      <c r="D19" s="9">
        <f>+B19/$B$14</f>
        <v>0.78654630217867483</v>
      </c>
      <c r="E19" s="322">
        <f>SUM(F20:F50)</f>
        <v>4338792</v>
      </c>
      <c r="F19" s="214"/>
      <c r="G19" s="35">
        <f>+E19/$E$14</f>
        <v>0.78119187255033118</v>
      </c>
      <c r="H19" s="322">
        <f>SUM(I20:I50)</f>
        <v>3933619</v>
      </c>
      <c r="I19" s="214"/>
      <c r="J19" s="35">
        <f>+H19/$H$14</f>
        <v>0.75537019605041766</v>
      </c>
    </row>
    <row r="20" spans="1:15" s="36" customFormat="1" ht="13" hidden="1" outlineLevel="1">
      <c r="A20" s="312" t="s">
        <v>437</v>
      </c>
      <c r="B20" s="319">
        <f>+C20+C21+C49</f>
        <v>3564181</v>
      </c>
      <c r="C20" s="39">
        <v>-32001</v>
      </c>
      <c r="D20" s="89">
        <f>+B20/B14</f>
        <v>0.59934173288406289</v>
      </c>
      <c r="E20" s="40">
        <f>+F20+F21+F49</f>
        <v>3275537</v>
      </c>
      <c r="F20" s="88">
        <v>-269779</v>
      </c>
      <c r="G20" s="89">
        <f>+E20/E14</f>
        <v>0.58975467886865607</v>
      </c>
      <c r="H20" s="40">
        <f>+I20+I21+I49</f>
        <v>2942799</v>
      </c>
      <c r="I20" s="88">
        <v>76819</v>
      </c>
      <c r="J20" s="89">
        <f>+H20/H14</f>
        <v>0.56510370159564849</v>
      </c>
    </row>
    <row r="21" spans="1:15" s="36" customFormat="1" ht="13" hidden="1" outlineLevel="1">
      <c r="A21" s="314" t="s">
        <v>38</v>
      </c>
      <c r="B21" s="88"/>
      <c r="C21" s="39">
        <v>3579780</v>
      </c>
      <c r="D21" s="89">
        <f>+C21/B$14</f>
        <v>0.6019648128262034</v>
      </c>
      <c r="E21" s="39"/>
      <c r="F21" s="88">
        <v>3589385</v>
      </c>
      <c r="G21" s="89">
        <f>+F21/E$14</f>
        <v>0.64626245956341544</v>
      </c>
      <c r="H21" s="39"/>
      <c r="I21" s="88">
        <v>2906371</v>
      </c>
      <c r="J21" s="89">
        <f>+I21/H$14</f>
        <v>0.55810845739387782</v>
      </c>
      <c r="K21" s="623"/>
      <c r="L21" s="88"/>
      <c r="M21" s="329"/>
      <c r="N21" s="13"/>
      <c r="O21" s="88"/>
    </row>
    <row r="22" spans="1:15" s="36" customFormat="1" ht="13" hidden="1" outlineLevel="1">
      <c r="A22" s="314" t="s">
        <v>118</v>
      </c>
      <c r="B22" s="88"/>
      <c r="C22" s="39">
        <v>135582</v>
      </c>
      <c r="D22" s="89">
        <f t="shared" ref="D22:D50" si="0">+C22/B$14</f>
        <v>2.279905280564792E-2</v>
      </c>
      <c r="E22" s="39"/>
      <c r="F22" s="88">
        <v>133650</v>
      </c>
      <c r="G22" s="89">
        <f t="shared" ref="G22:G50" si="1">+F22/E$14</f>
        <v>2.4063447560139263E-2</v>
      </c>
      <c r="H22" s="39"/>
      <c r="I22" s="88">
        <v>125585</v>
      </c>
      <c r="J22" s="89">
        <f t="shared" ref="J22:J50" si="2">+I22/H$14</f>
        <v>2.4116002610062567E-2</v>
      </c>
    </row>
    <row r="23" spans="1:15" s="36" customFormat="1" ht="13" hidden="1" outlineLevel="1">
      <c r="A23" s="314" t="s">
        <v>119</v>
      </c>
      <c r="B23" s="88"/>
      <c r="C23" s="39">
        <v>133696</v>
      </c>
      <c r="D23" s="89">
        <f t="shared" si="0"/>
        <v>2.2481908836747534E-2</v>
      </c>
      <c r="E23" s="39"/>
      <c r="F23" s="88">
        <v>115310</v>
      </c>
      <c r="G23" s="89">
        <f t="shared" si="1"/>
        <v>2.0761362799548513E-2</v>
      </c>
      <c r="H23" s="39"/>
      <c r="I23" s="88">
        <v>93955</v>
      </c>
      <c r="J23" s="89">
        <f t="shared" si="2"/>
        <v>1.8042115103144709E-2</v>
      </c>
      <c r="L23" s="317"/>
    </row>
    <row r="24" spans="1:15" s="36" customFormat="1" ht="13" hidden="1" outlineLevel="1">
      <c r="A24" s="314" t="s">
        <v>120</v>
      </c>
      <c r="B24" s="88"/>
      <c r="C24" s="39">
        <v>12923</v>
      </c>
      <c r="D24" s="89">
        <f t="shared" si="0"/>
        <v>2.1730919989924038E-3</v>
      </c>
      <c r="E24" s="39"/>
      <c r="F24" s="88">
        <v>13875</v>
      </c>
      <c r="G24" s="89">
        <f t="shared" si="1"/>
        <v>2.498169359498184E-3</v>
      </c>
      <c r="H24" s="39"/>
      <c r="I24" s="88">
        <v>13626</v>
      </c>
      <c r="J24" s="89">
        <f t="shared" si="2"/>
        <v>2.6165915639981886E-3</v>
      </c>
    </row>
    <row r="25" spans="1:15" s="36" customFormat="1" ht="13" hidden="1" outlineLevel="1">
      <c r="A25" s="314" t="s">
        <v>121</v>
      </c>
      <c r="B25" s="88"/>
      <c r="C25" s="39">
        <v>11596</v>
      </c>
      <c r="D25" s="89">
        <f t="shared" si="0"/>
        <v>1.9499477536420269E-3</v>
      </c>
      <c r="E25" s="39"/>
      <c r="F25" s="88">
        <v>14189</v>
      </c>
      <c r="G25" s="89">
        <f t="shared" si="1"/>
        <v>2.5547045075257463E-3</v>
      </c>
      <c r="H25" s="39"/>
      <c r="I25" s="88">
        <v>15271</v>
      </c>
      <c r="J25" s="89">
        <f t="shared" si="2"/>
        <v>2.9324798013955922E-3</v>
      </c>
      <c r="L25" s="317"/>
    </row>
    <row r="26" spans="1:15" s="36" customFormat="1" ht="13" hidden="1" outlineLevel="1">
      <c r="A26" s="314" t="s">
        <v>117</v>
      </c>
      <c r="B26" s="88"/>
      <c r="C26" s="39">
        <v>9776</v>
      </c>
      <c r="D26" s="89">
        <f t="shared" si="0"/>
        <v>1.6439021420838612E-3</v>
      </c>
      <c r="E26" s="39"/>
      <c r="F26" s="88">
        <v>9051</v>
      </c>
      <c r="G26" s="89">
        <f t="shared" si="1"/>
        <v>1.6296166394823828E-3</v>
      </c>
      <c r="H26" s="39"/>
      <c r="I26" s="88">
        <v>9139</v>
      </c>
      <c r="J26" s="89">
        <f t="shared" si="2"/>
        <v>1.7549559887993136E-3</v>
      </c>
      <c r="L26" s="317"/>
    </row>
    <row r="27" spans="1:15" s="36" customFormat="1" ht="13" hidden="1" outlineLevel="1">
      <c r="A27" s="314" t="s">
        <v>115</v>
      </c>
      <c r="B27" s="88"/>
      <c r="C27" s="39"/>
      <c r="D27" s="89">
        <f t="shared" si="0"/>
        <v>0</v>
      </c>
      <c r="E27" s="39"/>
      <c r="F27" s="88">
        <v>502</v>
      </c>
      <c r="G27" s="89">
        <f t="shared" si="1"/>
        <v>9.0384217547249604E-5</v>
      </c>
      <c r="H27" s="39"/>
      <c r="I27" s="88"/>
      <c r="J27" s="89">
        <f t="shared" si="2"/>
        <v>0</v>
      </c>
      <c r="L27" s="317"/>
    </row>
    <row r="28" spans="1:15" s="36" customFormat="1" ht="13" hidden="1" outlineLevel="1">
      <c r="A28" s="314" t="s">
        <v>123</v>
      </c>
      <c r="B28" s="88"/>
      <c r="C28" s="39">
        <v>98642</v>
      </c>
      <c r="D28" s="89">
        <f t="shared" si="0"/>
        <v>1.6587335832593725E-2</v>
      </c>
      <c r="E28" s="39"/>
      <c r="F28" s="88">
        <v>66037</v>
      </c>
      <c r="G28" s="89">
        <f t="shared" si="1"/>
        <v>1.1889845765274347E-2</v>
      </c>
      <c r="H28" s="39"/>
      <c r="I28" s="88">
        <v>86984</v>
      </c>
      <c r="J28" s="89">
        <f t="shared" si="2"/>
        <v>1.6703478688009574E-2</v>
      </c>
      <c r="L28" s="319"/>
    </row>
    <row r="29" spans="1:15" s="36" customFormat="1" ht="13" hidden="1" outlineLevel="1">
      <c r="A29" s="314" t="s">
        <v>124</v>
      </c>
      <c r="B29" s="88"/>
      <c r="C29" s="39">
        <v>2977</v>
      </c>
      <c r="D29" s="89">
        <f t="shared" si="0"/>
        <v>5.0060317890585667E-4</v>
      </c>
      <c r="E29" s="39"/>
      <c r="F29" s="88">
        <v>4100</v>
      </c>
      <c r="G29" s="89">
        <f t="shared" si="1"/>
        <v>7.3819779271658043E-4</v>
      </c>
      <c r="H29" s="39"/>
      <c r="I29" s="88">
        <v>4317</v>
      </c>
      <c r="J29" s="89">
        <f t="shared" si="2"/>
        <v>8.2899059017908273E-4</v>
      </c>
    </row>
    <row r="30" spans="1:15" s="36" customFormat="1" ht="13" hidden="1" outlineLevel="1">
      <c r="A30" s="314" t="s">
        <v>0</v>
      </c>
      <c r="B30" s="88"/>
      <c r="C30" s="39">
        <v>28182</v>
      </c>
      <c r="D30" s="89">
        <f t="shared" si="0"/>
        <v>4.738998585127596E-3</v>
      </c>
      <c r="E30" s="39"/>
      <c r="F30" s="88">
        <v>29000</v>
      </c>
      <c r="G30" s="89">
        <f t="shared" si="1"/>
        <v>5.2213990216538617E-3</v>
      </c>
      <c r="H30" s="39"/>
      <c r="I30" s="88">
        <v>28441</v>
      </c>
      <c r="J30" s="89">
        <f t="shared" si="2"/>
        <v>5.4615059938112791E-3</v>
      </c>
    </row>
    <row r="31" spans="1:15" s="36" customFormat="1" ht="13" hidden="1" outlineLevel="1">
      <c r="A31" s="314" t="s">
        <v>3</v>
      </c>
      <c r="B31" s="88"/>
      <c r="C31" s="39">
        <v>23504</v>
      </c>
      <c r="D31" s="89">
        <f t="shared" si="0"/>
        <v>3.9523604692654531E-3</v>
      </c>
      <c r="E31" s="39"/>
      <c r="F31" s="88">
        <v>23498</v>
      </c>
      <c r="G31" s="89">
        <f t="shared" si="1"/>
        <v>4.2307735934766361E-3</v>
      </c>
      <c r="H31" s="39"/>
      <c r="I31" s="88">
        <v>17738</v>
      </c>
      <c r="J31" s="89">
        <f t="shared" si="2"/>
        <v>3.4062161428298748E-3</v>
      </c>
    </row>
    <row r="32" spans="1:15" s="36" customFormat="1" ht="13" hidden="1" outlineLevel="1">
      <c r="A32" s="314" t="s">
        <v>4</v>
      </c>
      <c r="B32" s="88"/>
      <c r="C32" s="39">
        <v>1515</v>
      </c>
      <c r="D32" s="89">
        <f t="shared" si="0"/>
        <v>2.5475774808275876E-4</v>
      </c>
      <c r="E32" s="39"/>
      <c r="F32" s="88"/>
      <c r="G32" s="89">
        <f t="shared" si="1"/>
        <v>0</v>
      </c>
      <c r="H32" s="39"/>
      <c r="I32" s="88">
        <v>835</v>
      </c>
      <c r="J32" s="89">
        <f t="shared" si="2"/>
        <v>1.6034448524427473E-4</v>
      </c>
    </row>
    <row r="33" spans="1:12" s="36" customFormat="1" ht="13" hidden="1" outlineLevel="1">
      <c r="A33" s="314" t="s">
        <v>5</v>
      </c>
      <c r="B33" s="88"/>
      <c r="C33" s="39">
        <v>27708</v>
      </c>
      <c r="D33" s="89">
        <f t="shared" si="0"/>
        <v>4.6592922005789308E-3</v>
      </c>
      <c r="E33" s="39"/>
      <c r="F33" s="88">
        <v>25021</v>
      </c>
      <c r="G33" s="89">
        <f t="shared" si="1"/>
        <v>4.5049870662345268E-3</v>
      </c>
      <c r="H33" s="39"/>
      <c r="I33" s="88">
        <v>30127</v>
      </c>
      <c r="J33" s="89">
        <f t="shared" si="2"/>
        <v>5.7852674334781615E-3</v>
      </c>
    </row>
    <row r="34" spans="1:12" s="36" customFormat="1" ht="13" hidden="1" outlineLevel="1">
      <c r="A34" s="314" t="s">
        <v>6</v>
      </c>
      <c r="B34" s="88"/>
      <c r="C34" s="39">
        <v>17349</v>
      </c>
      <c r="D34" s="89">
        <f t="shared" si="0"/>
        <v>2.9173545686387997E-3</v>
      </c>
      <c r="E34" s="39"/>
      <c r="F34" s="88">
        <v>17121</v>
      </c>
      <c r="G34" s="89">
        <f t="shared" si="1"/>
        <v>3.0826059534391644E-3</v>
      </c>
      <c r="H34" s="39"/>
      <c r="I34" s="88">
        <v>16743</v>
      </c>
      <c r="J34" s="89">
        <f t="shared" si="2"/>
        <v>3.2151469658022657E-3</v>
      </c>
    </row>
    <row r="35" spans="1:12" s="36" customFormat="1" ht="13" hidden="1" outlineLevel="1">
      <c r="A35" s="314" t="s">
        <v>7</v>
      </c>
      <c r="B35" s="88"/>
      <c r="C35" s="39">
        <v>123618</v>
      </c>
      <c r="D35" s="89">
        <f t="shared" si="0"/>
        <v>2.0787223301976552E-2</v>
      </c>
      <c r="E35" s="39"/>
      <c r="F35" s="88">
        <v>115432</v>
      </c>
      <c r="G35" s="89">
        <f t="shared" si="1"/>
        <v>2.0783328685087882E-2</v>
      </c>
      <c r="H35" s="39"/>
      <c r="I35" s="88">
        <v>114917</v>
      </c>
      <c r="J35" s="89">
        <f t="shared" si="2"/>
        <v>2.2067433785408767E-2</v>
      </c>
    </row>
    <row r="36" spans="1:12" s="36" customFormat="1" ht="13" hidden="1" outlineLevel="1">
      <c r="A36" s="314" t="s">
        <v>8</v>
      </c>
      <c r="B36" s="88"/>
      <c r="C36" s="39">
        <v>253624</v>
      </c>
      <c r="D36" s="89">
        <f t="shared" si="0"/>
        <v>4.2648633069136375E-2</v>
      </c>
      <c r="E36" s="39"/>
      <c r="F36" s="88">
        <v>255157</v>
      </c>
      <c r="G36" s="89">
        <f t="shared" si="1"/>
        <v>4.5940569316142564E-2</v>
      </c>
      <c r="H36" s="39"/>
      <c r="I36" s="88">
        <v>207862</v>
      </c>
      <c r="J36" s="89">
        <f t="shared" si="2"/>
        <v>3.9915599271671182E-2</v>
      </c>
      <c r="L36" s="319"/>
    </row>
    <row r="37" spans="1:12" s="36" customFormat="1" ht="13" hidden="1" outlineLevel="1">
      <c r="A37" s="314" t="s">
        <v>9</v>
      </c>
      <c r="B37" s="88"/>
      <c r="C37" s="39">
        <v>2408</v>
      </c>
      <c r="D37" s="89">
        <f t="shared" si="0"/>
        <v>4.04921886061573E-4</v>
      </c>
      <c r="E37" s="39"/>
      <c r="F37" s="88">
        <v>2701</v>
      </c>
      <c r="G37" s="89">
        <f t="shared" si="1"/>
        <v>4.8631030198231312E-4</v>
      </c>
      <c r="H37" s="39"/>
      <c r="I37" s="88">
        <v>7208</v>
      </c>
      <c r="J37" s="89">
        <f t="shared" si="2"/>
        <v>1.3841473648392004E-3</v>
      </c>
    </row>
    <row r="38" spans="1:12" s="36" customFormat="1" ht="13" hidden="1" outlineLevel="1">
      <c r="A38" s="314" t="s">
        <v>10</v>
      </c>
      <c r="B38" s="88"/>
      <c r="C38" s="39">
        <v>29327</v>
      </c>
      <c r="D38" s="89">
        <f t="shared" si="0"/>
        <v>4.9315382693221558E-3</v>
      </c>
      <c r="E38" s="39"/>
      <c r="F38" s="88">
        <v>29304</v>
      </c>
      <c r="G38" s="89">
        <f t="shared" si="1"/>
        <v>5.2761336872601643E-3</v>
      </c>
      <c r="H38" s="39"/>
      <c r="I38" s="88">
        <v>29448</v>
      </c>
      <c r="J38" s="89">
        <f t="shared" si="2"/>
        <v>5.6548795227226376E-3</v>
      </c>
      <c r="L38" s="317"/>
    </row>
    <row r="39" spans="1:12" s="36" customFormat="1" ht="13" hidden="1" outlineLevel="1">
      <c r="A39" s="314" t="s">
        <v>11</v>
      </c>
      <c r="B39" s="88"/>
      <c r="C39" s="39"/>
      <c r="D39" s="89">
        <f t="shared" si="0"/>
        <v>0</v>
      </c>
      <c r="E39" s="39"/>
      <c r="F39" s="88">
        <v>7205</v>
      </c>
      <c r="G39" s="89">
        <f t="shared" si="1"/>
        <v>1.2972475845177958E-3</v>
      </c>
      <c r="H39" s="39"/>
      <c r="I39" s="88">
        <v>7492</v>
      </c>
      <c r="J39" s="89">
        <f t="shared" si="2"/>
        <v>1.4386836927546185E-3</v>
      </c>
      <c r="L39" s="317"/>
    </row>
    <row r="40" spans="1:12" s="36" customFormat="1" ht="13" hidden="1" outlineLevel="1">
      <c r="A40" s="314" t="s">
        <v>116</v>
      </c>
      <c r="B40" s="88"/>
      <c r="C40" s="39">
        <v>25542</v>
      </c>
      <c r="D40" s="89">
        <f t="shared" si="0"/>
        <v>4.2950642914388283E-3</v>
      </c>
      <c r="E40" s="39"/>
      <c r="F40" s="88">
        <v>24134</v>
      </c>
      <c r="G40" s="89">
        <f t="shared" si="1"/>
        <v>4.3452842754687689E-3</v>
      </c>
      <c r="H40" s="39"/>
      <c r="I40" s="88">
        <v>30525</v>
      </c>
      <c r="J40" s="89">
        <f t="shared" si="2"/>
        <v>5.861695104289205E-3</v>
      </c>
      <c r="L40" s="317"/>
    </row>
    <row r="41" spans="1:12" s="36" customFormat="1" ht="13" hidden="1" outlineLevel="1">
      <c r="A41" s="314" t="s">
        <v>12</v>
      </c>
      <c r="B41" s="88"/>
      <c r="C41" s="39">
        <v>47156</v>
      </c>
      <c r="D41" s="89">
        <f t="shared" si="0"/>
        <v>7.9296081640861868E-3</v>
      </c>
      <c r="E41" s="39"/>
      <c r="F41" s="88">
        <v>61196</v>
      </c>
      <c r="G41" s="89">
        <f t="shared" si="1"/>
        <v>1.1018232225142404E-2</v>
      </c>
      <c r="H41" s="39"/>
      <c r="I41" s="88">
        <v>44791</v>
      </c>
      <c r="J41" s="89">
        <f t="shared" si="2"/>
        <v>8.6011854354207298E-3</v>
      </c>
      <c r="L41" s="317"/>
    </row>
    <row r="42" spans="1:12" s="36" customFormat="1" ht="13" hidden="1" outlineLevel="1">
      <c r="A42" s="314" t="s">
        <v>13</v>
      </c>
      <c r="B42" s="88"/>
      <c r="C42" s="39">
        <v>10812</v>
      </c>
      <c r="D42" s="89">
        <f t="shared" si="0"/>
        <v>1.8181127209708171E-3</v>
      </c>
      <c r="E42" s="39"/>
      <c r="F42" s="317">
        <v>13542</v>
      </c>
      <c r="G42" s="89">
        <f t="shared" si="1"/>
        <v>2.4382132948702275E-3</v>
      </c>
      <c r="H42" s="39"/>
      <c r="I42" s="88">
        <v>16255</v>
      </c>
      <c r="J42" s="89">
        <f t="shared" si="2"/>
        <v>3.1214366558630969E-3</v>
      </c>
      <c r="L42" s="317"/>
    </row>
    <row r="43" spans="1:12" s="36" customFormat="1" ht="13" hidden="1" outlineLevel="1">
      <c r="A43" s="314" t="s">
        <v>14</v>
      </c>
      <c r="B43" s="88"/>
      <c r="C43" s="39">
        <v>15714</v>
      </c>
      <c r="D43" s="89">
        <f t="shared" si="0"/>
        <v>2.6424179890247334E-3</v>
      </c>
      <c r="E43" s="39"/>
      <c r="F43" s="317">
        <v>15326</v>
      </c>
      <c r="G43" s="89">
        <f t="shared" si="1"/>
        <v>2.7594193588230029E-3</v>
      </c>
      <c r="H43" s="39"/>
      <c r="I43" s="88">
        <v>15982</v>
      </c>
      <c r="J43" s="89">
        <f t="shared" si="2"/>
        <v>3.0690126505077829E-3</v>
      </c>
      <c r="L43" s="317"/>
    </row>
    <row r="44" spans="1:12" s="36" customFormat="1" ht="13" hidden="1" outlineLevel="1">
      <c r="A44" s="318" t="s">
        <v>15</v>
      </c>
      <c r="B44" s="88"/>
      <c r="C44" s="39">
        <v>2432</v>
      </c>
      <c r="D44" s="89">
        <f t="shared" si="0"/>
        <v>4.0895765236783455E-4</v>
      </c>
      <c r="E44" s="39"/>
      <c r="F44" s="317">
        <v>2233</v>
      </c>
      <c r="G44" s="89">
        <f t="shared" si="1"/>
        <v>4.0204772466734739E-4</v>
      </c>
      <c r="H44" s="39"/>
      <c r="I44" s="88">
        <v>2372</v>
      </c>
      <c r="J44" s="89">
        <f t="shared" si="2"/>
        <v>4.5549355568792776E-4</v>
      </c>
      <c r="L44" s="317"/>
    </row>
    <row r="45" spans="1:12" s="36" customFormat="1" ht="13" hidden="1" outlineLevel="1">
      <c r="A45" s="314" t="s">
        <v>16</v>
      </c>
      <c r="B45" s="88"/>
      <c r="C45" s="39">
        <v>5579</v>
      </c>
      <c r="D45" s="89">
        <f t="shared" si="0"/>
        <v>9.38147509276377E-4</v>
      </c>
      <c r="E45" s="39"/>
      <c r="F45" s="317">
        <v>9734</v>
      </c>
      <c r="G45" s="89">
        <f t="shared" si="1"/>
        <v>1.7525895888544376E-3</v>
      </c>
      <c r="H45" s="39"/>
      <c r="I45" s="88">
        <v>5510</v>
      </c>
      <c r="J45" s="89">
        <f t="shared" si="2"/>
        <v>1.0580815732885674E-3</v>
      </c>
      <c r="L45" s="317"/>
    </row>
    <row r="46" spans="1:12" s="36" customFormat="1" ht="13" hidden="1" outlineLevel="1">
      <c r="A46" s="314" t="s">
        <v>78</v>
      </c>
      <c r="B46" s="88"/>
      <c r="C46" s="39">
        <v>29920</v>
      </c>
      <c r="D46" s="89">
        <f t="shared" si="0"/>
        <v>5.0312553284727014E-3</v>
      </c>
      <c r="E46" s="39"/>
      <c r="F46" s="317">
        <v>17162</v>
      </c>
      <c r="G46" s="89">
        <f t="shared" si="1"/>
        <v>3.0899879313663302E-3</v>
      </c>
      <c r="H46" s="39"/>
      <c r="I46" s="88">
        <v>11763</v>
      </c>
      <c r="J46" s="89">
        <f t="shared" si="2"/>
        <v>2.2588409340459927E-3</v>
      </c>
      <c r="L46" s="317"/>
    </row>
    <row r="47" spans="1:12" s="36" customFormat="1" ht="13" hidden="1" outlineLevel="1">
      <c r="A47" s="314" t="s">
        <v>39</v>
      </c>
      <c r="B47" s="88"/>
      <c r="C47" s="39">
        <v>17396</v>
      </c>
      <c r="D47" s="89">
        <f t="shared" si="0"/>
        <v>2.9252579443218955E-3</v>
      </c>
      <c r="E47" s="39"/>
      <c r="F47" s="88">
        <v>17113</v>
      </c>
      <c r="G47" s="89">
        <f t="shared" si="1"/>
        <v>3.0811655675021567E-3</v>
      </c>
      <c r="H47" s="39"/>
      <c r="I47" s="88">
        <v>16110</v>
      </c>
      <c r="J47" s="89">
        <f t="shared" si="2"/>
        <v>3.0935924039344506E-3</v>
      </c>
    </row>
    <row r="48" spans="1:12" s="36" customFormat="1" ht="13" hidden="1" outlineLevel="1">
      <c r="A48" s="314" t="s">
        <v>43</v>
      </c>
      <c r="B48" s="88"/>
      <c r="C48" s="39">
        <v>2148</v>
      </c>
      <c r="D48" s="89">
        <f t="shared" si="0"/>
        <v>3.6120108441040647E-4</v>
      </c>
      <c r="E48" s="39"/>
      <c r="F48" s="88">
        <v>2004</v>
      </c>
      <c r="G48" s="89">
        <f t="shared" si="1"/>
        <v>3.6081667722049444E-4</v>
      </c>
      <c r="H48" s="39"/>
      <c r="I48" s="88">
        <v>170</v>
      </c>
      <c r="J48" s="89">
        <f t="shared" si="2"/>
        <v>3.2644985019792465E-5</v>
      </c>
    </row>
    <row r="49" spans="1:12" s="36" customFormat="1" ht="13" hidden="1" outlineLevel="1">
      <c r="A49" s="314" t="s">
        <v>110</v>
      </c>
      <c r="B49" s="88"/>
      <c r="C49" s="39">
        <v>16402</v>
      </c>
      <c r="D49" s="89">
        <f t="shared" si="0"/>
        <v>2.7581099564708972E-3</v>
      </c>
      <c r="E49" s="39"/>
      <c r="F49" s="88">
        <v>-44069</v>
      </c>
      <c r="G49" s="89">
        <f t="shared" si="1"/>
        <v>-7.9345459822504835E-3</v>
      </c>
      <c r="H49" s="39"/>
      <c r="I49" s="88">
        <v>-40391</v>
      </c>
      <c r="J49" s="89">
        <f t="shared" si="2"/>
        <v>-7.7562564113790432E-3</v>
      </c>
    </row>
    <row r="50" spans="1:12" ht="13" hidden="1" outlineLevel="1">
      <c r="A50" s="314" t="s">
        <v>111</v>
      </c>
      <c r="B50" s="88"/>
      <c r="C50" s="39">
        <v>44147</v>
      </c>
      <c r="D50" s="89">
        <f t="shared" si="0"/>
        <v>7.4236239634386482E-3</v>
      </c>
      <c r="E50" s="39"/>
      <c r="F50" s="88">
        <v>39658</v>
      </c>
      <c r="G50" s="89">
        <f t="shared" si="1"/>
        <v>7.1403531862327188E-3</v>
      </c>
      <c r="H50" s="39"/>
      <c r="I50" s="88">
        <f>76079+I81+I82</f>
        <v>37654</v>
      </c>
      <c r="J50" s="89">
        <f t="shared" si="2"/>
        <v>7.230672152560385E-3</v>
      </c>
    </row>
    <row r="51" spans="1:12" ht="13" hidden="1" outlineLevel="1">
      <c r="A51" s="819" t="s">
        <v>281</v>
      </c>
      <c r="B51" s="630">
        <f>+B14-B19</f>
        <v>1269372</v>
      </c>
      <c r="C51" s="820"/>
      <c r="D51" s="9">
        <f>+B51/$B$14</f>
        <v>0.2134536978213252</v>
      </c>
      <c r="E51" s="323">
        <f>+E14-E19</f>
        <v>1215275</v>
      </c>
      <c r="F51" s="821" t="s">
        <v>605</v>
      </c>
      <c r="G51" s="35">
        <f>+E51/$E$14</f>
        <v>0.21880812744966888</v>
      </c>
      <c r="H51" s="323">
        <f>+H14-H19</f>
        <v>1273919</v>
      </c>
      <c r="I51" s="822"/>
      <c r="J51" s="35">
        <f>+H51/$H$14</f>
        <v>0.24462980394958231</v>
      </c>
    </row>
    <row r="52" spans="1:12" collapsed="1">
      <c r="A52" s="312"/>
      <c r="B52" s="88"/>
      <c r="C52" s="39"/>
      <c r="D52" s="229"/>
      <c r="E52" s="39"/>
      <c r="F52" s="88"/>
      <c r="G52" s="8"/>
      <c r="H52" s="39"/>
      <c r="I52" s="88"/>
      <c r="J52" s="8"/>
    </row>
    <row r="53" spans="1:12" ht="16">
      <c r="A53" s="313" t="s">
        <v>228</v>
      </c>
      <c r="B53" s="627">
        <f>SUM(C54:C59)</f>
        <v>839729</v>
      </c>
      <c r="C53" s="41"/>
      <c r="D53" s="9">
        <f>+B53/$B$14</f>
        <v>0.1412062501912785</v>
      </c>
      <c r="E53" s="322">
        <f>SUM(F54:F59)</f>
        <v>809815</v>
      </c>
      <c r="F53" s="214"/>
      <c r="G53" s="35">
        <f>+E53/$E$14</f>
        <v>0.14580576719726285</v>
      </c>
      <c r="H53" s="322">
        <f>SUM(I54:I59)</f>
        <v>790176</v>
      </c>
      <c r="I53" s="214"/>
      <c r="J53" s="35">
        <f>+H53/$H$14</f>
        <v>0.15173696284117369</v>
      </c>
    </row>
    <row r="54" spans="1:12" ht="16">
      <c r="A54" s="312" t="s">
        <v>40</v>
      </c>
      <c r="B54" s="628"/>
      <c r="C54" s="39">
        <v>542735</v>
      </c>
      <c r="D54" s="164"/>
      <c r="E54" s="324"/>
      <c r="F54" s="88">
        <v>534573</v>
      </c>
      <c r="G54" s="164"/>
      <c r="H54" s="324"/>
      <c r="I54" s="88">
        <v>530350</v>
      </c>
      <c r="J54" s="87"/>
    </row>
    <row r="55" spans="1:12" ht="13" outlineLevel="1">
      <c r="A55" s="312" t="s">
        <v>41</v>
      </c>
      <c r="B55" s="88"/>
      <c r="C55" s="39">
        <v>134041</v>
      </c>
      <c r="D55" s="89"/>
      <c r="E55" s="39"/>
      <c r="F55" s="88">
        <v>135540</v>
      </c>
      <c r="G55" s="89"/>
      <c r="H55" s="39"/>
      <c r="I55" s="88">
        <v>140284</v>
      </c>
      <c r="J55" s="89"/>
    </row>
    <row r="56" spans="1:12" ht="13" outlineLevel="1">
      <c r="A56" s="312" t="s">
        <v>42</v>
      </c>
      <c r="B56" s="88"/>
      <c r="C56" s="39">
        <v>40649</v>
      </c>
      <c r="D56" s="89"/>
      <c r="E56" s="39"/>
      <c r="F56" s="88">
        <v>39166</v>
      </c>
      <c r="G56" s="89"/>
      <c r="H56" s="39"/>
      <c r="I56" s="88">
        <v>37133</v>
      </c>
      <c r="J56" s="89"/>
    </row>
    <row r="57" spans="1:12" ht="13">
      <c r="A57" s="314" t="s">
        <v>122</v>
      </c>
      <c r="B57" s="88"/>
      <c r="C57" s="39">
        <v>4644</v>
      </c>
      <c r="D57" s="89"/>
      <c r="E57" s="39"/>
      <c r="F57" s="88">
        <v>4224</v>
      </c>
      <c r="G57" s="89"/>
      <c r="H57" s="39"/>
      <c r="I57" s="88">
        <v>4036</v>
      </c>
      <c r="J57" s="8"/>
    </row>
    <row r="58" spans="1:12" ht="13">
      <c r="A58" s="314" t="s">
        <v>1</v>
      </c>
      <c r="B58" s="88"/>
      <c r="C58" s="39">
        <v>106000</v>
      </c>
      <c r="D58" s="89"/>
      <c r="E58" s="39"/>
      <c r="F58" s="88">
        <v>86500</v>
      </c>
      <c r="G58" s="89"/>
      <c r="H58" s="39"/>
      <c r="I58" s="88">
        <v>70400</v>
      </c>
      <c r="J58" s="8"/>
    </row>
    <row r="59" spans="1:12" ht="13">
      <c r="A59" s="314" t="s">
        <v>2</v>
      </c>
      <c r="B59" s="88"/>
      <c r="C59" s="39">
        <v>11660</v>
      </c>
      <c r="D59" s="89"/>
      <c r="E59" s="39"/>
      <c r="F59" s="88">
        <v>9812</v>
      </c>
      <c r="G59" s="89"/>
      <c r="H59" s="39"/>
      <c r="I59" s="88">
        <v>7973</v>
      </c>
      <c r="J59" s="8"/>
    </row>
    <row r="60" spans="1:12" ht="13">
      <c r="A60" s="314"/>
      <c r="B60" s="88"/>
      <c r="C60" s="39"/>
      <c r="D60" s="89"/>
      <c r="E60" s="39"/>
      <c r="F60" s="88"/>
      <c r="G60" s="89"/>
      <c r="H60" s="39"/>
      <c r="I60" s="88"/>
      <c r="J60" s="8"/>
    </row>
    <row r="61" spans="1:12" ht="13">
      <c r="A61" s="313" t="s">
        <v>261</v>
      </c>
      <c r="B61" s="630">
        <f>+B51-B53</f>
        <v>429643</v>
      </c>
      <c r="C61" s="635">
        <f>+B61/E61-1</f>
        <v>5.9643368026439214E-2</v>
      </c>
      <c r="D61" s="9">
        <f>+B61/$B$14</f>
        <v>7.2247447630046688E-2</v>
      </c>
      <c r="E61" s="323">
        <f>+E51-E53</f>
        <v>405460</v>
      </c>
      <c r="F61" s="94">
        <f>+E61/H61-1</f>
        <v>-0.16182766468972165</v>
      </c>
      <c r="G61" s="35">
        <f>+E61/$E$14</f>
        <v>7.3002360252406029E-2</v>
      </c>
      <c r="H61" s="323">
        <f>+H51-H53</f>
        <v>483743</v>
      </c>
      <c r="I61" s="94"/>
      <c r="J61" s="35">
        <f>+H61/$H$14</f>
        <v>9.2892841108408619E-2</v>
      </c>
    </row>
    <row r="62" spans="1:12">
      <c r="A62" s="312"/>
      <c r="B62" s="88"/>
      <c r="C62" s="39"/>
      <c r="D62" s="229"/>
      <c r="E62" s="39"/>
      <c r="F62" s="88"/>
      <c r="G62" s="8"/>
      <c r="H62" s="39"/>
      <c r="I62" s="88"/>
      <c r="J62" s="8"/>
    </row>
    <row r="63" spans="1:12" ht="16">
      <c r="A63" s="313" t="s">
        <v>262</v>
      </c>
      <c r="B63" s="627">
        <f>SUM(C64:C66)</f>
        <v>312589</v>
      </c>
      <c r="C63" s="41"/>
      <c r="D63" s="9">
        <f>+B63/$B$14</f>
        <v>5.256400641283266E-2</v>
      </c>
      <c r="E63" s="322">
        <f>SUM(F64:F66)</f>
        <v>374668</v>
      </c>
      <c r="F63" s="214"/>
      <c r="G63" s="35">
        <f>+E63/$E$14</f>
        <v>6.745831478086238E-2</v>
      </c>
      <c r="H63" s="322">
        <f>SUM(I64:I66)</f>
        <v>317744</v>
      </c>
      <c r="I63" s="214"/>
      <c r="J63" s="35">
        <f>+H63/$H$14</f>
        <v>6.1016165412523152E-2</v>
      </c>
    </row>
    <row r="64" spans="1:12">
      <c r="A64" s="312" t="s">
        <v>62</v>
      </c>
      <c r="B64" s="88"/>
      <c r="C64" s="39">
        <v>273876</v>
      </c>
      <c r="D64" s="229"/>
      <c r="E64" s="39"/>
      <c r="F64" s="88">
        <v>272453</v>
      </c>
      <c r="G64" s="8"/>
      <c r="H64" s="39"/>
      <c r="I64" s="88">
        <v>268146</v>
      </c>
      <c r="J64" s="8"/>
      <c r="L64" s="93"/>
    </row>
    <row r="65" spans="1:12" outlineLevel="1">
      <c r="A65" s="312" t="s">
        <v>66</v>
      </c>
      <c r="B65" s="88"/>
      <c r="C65" s="39">
        <v>31427</v>
      </c>
      <c r="D65" s="229"/>
      <c r="E65" s="39"/>
      <c r="F65" s="88">
        <v>34934</v>
      </c>
      <c r="G65" s="8"/>
      <c r="H65" s="39"/>
      <c r="I65" s="88">
        <v>31433</v>
      </c>
      <c r="J65" s="8"/>
    </row>
    <row r="66" spans="1:12" outlineLevel="1">
      <c r="A66" s="85" t="s">
        <v>606</v>
      </c>
      <c r="B66" s="214"/>
      <c r="C66" s="41">
        <v>7286</v>
      </c>
      <c r="D66" s="230"/>
      <c r="E66" s="41"/>
      <c r="F66" s="214">
        <v>67281</v>
      </c>
      <c r="G66" s="25"/>
      <c r="H66" s="41"/>
      <c r="I66" s="214">
        <v>18165</v>
      </c>
      <c r="J66" s="25"/>
    </row>
    <row r="67" spans="1:12" outlineLevel="1">
      <c r="A67" s="312"/>
      <c r="B67" s="88"/>
      <c r="C67" s="39"/>
      <c r="D67" s="229"/>
      <c r="E67" s="39"/>
      <c r="F67" s="88"/>
      <c r="G67" s="8"/>
      <c r="H67" s="39"/>
      <c r="I67" s="88"/>
      <c r="J67" s="8"/>
    </row>
    <row r="68" spans="1:12" ht="13" outlineLevel="1">
      <c r="A68" s="315" t="s">
        <v>59</v>
      </c>
      <c r="B68" s="630">
        <f>+B61-B63</f>
        <v>117054</v>
      </c>
      <c r="C68" s="635">
        <f>+B68/E68-1</f>
        <v>2.8014419329696025</v>
      </c>
      <c r="D68" s="231">
        <f>+B68/$B$14</f>
        <v>1.9683441217214024E-2</v>
      </c>
      <c r="E68" s="323">
        <f>+E61-E63</f>
        <v>30792</v>
      </c>
      <c r="F68" s="94">
        <f>+E68/H68-1</f>
        <v>-0.81450490665606423</v>
      </c>
      <c r="G68" s="35">
        <f>+E68/$E$14</f>
        <v>5.5440454715436453E-3</v>
      </c>
      <c r="H68" s="323">
        <f>+H61-H63</f>
        <v>165999</v>
      </c>
      <c r="I68" s="94"/>
      <c r="J68" s="35">
        <f>+H68/$H$14</f>
        <v>3.1876675695885467E-2</v>
      </c>
    </row>
    <row r="69" spans="1:12">
      <c r="A69" s="312"/>
      <c r="B69" s="88"/>
      <c r="C69" s="39">
        <f>+C70+C74</f>
        <v>-121772.8</v>
      </c>
      <c r="D69" s="232"/>
      <c r="E69" s="39"/>
      <c r="F69" s="88"/>
      <c r="G69" s="8"/>
      <c r="H69" s="39"/>
      <c r="I69" s="88"/>
      <c r="J69" s="8"/>
    </row>
    <row r="70" spans="1:12" ht="16">
      <c r="A70" s="313" t="s">
        <v>295</v>
      </c>
      <c r="B70" s="627">
        <f>SUM(C71:C74)</f>
        <v>-160091</v>
      </c>
      <c r="C70" s="41">
        <f>+B68*0.3</f>
        <v>35116.199999999997</v>
      </c>
      <c r="D70" s="231">
        <f>+B70/$B$14</f>
        <v>-2.6920410988988074E-2</v>
      </c>
      <c r="E70" s="322">
        <f>SUM(F71:F74)</f>
        <v>-138822</v>
      </c>
      <c r="F70" s="214"/>
      <c r="G70" s="35">
        <f>+E70/$E$14</f>
        <v>-2.4994657068414913E-2</v>
      </c>
      <c r="H70" s="322">
        <f>SUM(I71:I74)</f>
        <v>-124336</v>
      </c>
      <c r="I70" s="214"/>
      <c r="J70" s="35">
        <f>+H70/$H$14</f>
        <v>-2.3876157984828915E-2</v>
      </c>
    </row>
    <row r="71" spans="1:12">
      <c r="A71" s="312"/>
      <c r="B71" s="88"/>
      <c r="C71" s="39"/>
      <c r="D71" s="232"/>
      <c r="E71" s="39"/>
      <c r="F71" s="88"/>
      <c r="G71" s="8"/>
      <c r="H71" s="39"/>
      <c r="I71" s="88"/>
      <c r="J71" s="8"/>
    </row>
    <row r="72" spans="1:12" outlineLevel="1">
      <c r="A72" s="312" t="s">
        <v>291</v>
      </c>
      <c r="B72" s="88"/>
      <c r="C72" s="39"/>
      <c r="D72" s="232"/>
      <c r="E72" s="39"/>
      <c r="F72" s="88"/>
      <c r="G72" s="8"/>
      <c r="H72" s="39"/>
      <c r="I72" s="88"/>
      <c r="J72" s="8"/>
    </row>
    <row r="73" spans="1:12" outlineLevel="1">
      <c r="A73" s="312" t="s">
        <v>113</v>
      </c>
      <c r="B73" s="88"/>
      <c r="C73" s="39">
        <v>-3202</v>
      </c>
      <c r="D73" s="232"/>
      <c r="E73" s="39"/>
      <c r="F73" s="88">
        <v>1260</v>
      </c>
      <c r="G73" s="8"/>
      <c r="H73" s="39"/>
      <c r="I73" s="88">
        <v>-170</v>
      </c>
      <c r="J73" s="8"/>
      <c r="L73" s="93"/>
    </row>
    <row r="74" spans="1:12">
      <c r="A74" s="312" t="s">
        <v>208</v>
      </c>
      <c r="B74" s="327"/>
      <c r="C74" s="39">
        <v>-156889</v>
      </c>
      <c r="D74" s="233">
        <f>+C74/B68</f>
        <v>-1.3403130179233516</v>
      </c>
      <c r="E74" s="325"/>
      <c r="F74" s="88">
        <v>-140082</v>
      </c>
      <c r="G74" s="215">
        <f>+F74/E68</f>
        <v>-4.5492985190958688</v>
      </c>
      <c r="H74" s="325"/>
      <c r="I74" s="88">
        <v>-124166</v>
      </c>
      <c r="J74" s="215">
        <f>+I74/H68</f>
        <v>-0.7479924577858903</v>
      </c>
      <c r="L74" s="21"/>
    </row>
    <row r="75" spans="1:12">
      <c r="A75" s="85"/>
      <c r="B75" s="214"/>
      <c r="C75" s="41"/>
      <c r="D75" s="232"/>
      <c r="E75" s="41"/>
      <c r="F75" s="214"/>
      <c r="G75" s="8"/>
      <c r="H75" s="41"/>
      <c r="I75" s="214"/>
      <c r="J75" s="8"/>
      <c r="L75" s="93"/>
    </row>
    <row r="76" spans="1:12">
      <c r="A76" s="312"/>
      <c r="B76" s="88"/>
      <c r="C76" s="39"/>
      <c r="D76" s="232"/>
      <c r="E76" s="39"/>
      <c r="F76" s="88"/>
      <c r="G76" s="8"/>
      <c r="H76" s="39"/>
      <c r="I76" s="88"/>
      <c r="J76" s="8"/>
    </row>
    <row r="77" spans="1:12" ht="16" outlineLevel="1">
      <c r="A77" s="313" t="s">
        <v>58</v>
      </c>
      <c r="B77" s="627">
        <f>SUM(C78:C81)</f>
        <v>113621</v>
      </c>
      <c r="C77" s="41"/>
      <c r="D77" s="231">
        <f>+B77/$B$14</f>
        <v>1.9106158478489198E-2</v>
      </c>
      <c r="E77" s="322">
        <f>SUM(F78:F81)</f>
        <v>162183</v>
      </c>
      <c r="F77" s="214"/>
      <c r="G77" s="35">
        <f>+E77/$E$14</f>
        <v>2.9200764052720287E-2</v>
      </c>
      <c r="H77" s="322">
        <f>SUM(I78:I82)</f>
        <v>105595</v>
      </c>
      <c r="I77" s="214"/>
      <c r="J77" s="35">
        <f>+H77/$H$14</f>
        <v>2.0277336430382265E-2</v>
      </c>
    </row>
    <row r="78" spans="1:12" ht="16" outlineLevel="1">
      <c r="A78" s="312" t="s">
        <v>438</v>
      </c>
      <c r="B78" s="628"/>
      <c r="C78" s="39">
        <v>19691</v>
      </c>
      <c r="D78" s="309"/>
      <c r="E78" s="324"/>
      <c r="F78" s="88">
        <f>197+450+17207-1</f>
        <v>17853</v>
      </c>
      <c r="G78" s="87"/>
      <c r="H78" s="324"/>
      <c r="I78" s="88">
        <v>4393</v>
      </c>
      <c r="J78" s="87"/>
    </row>
    <row r="79" spans="1:12" outlineLevel="1">
      <c r="A79" s="312" t="s">
        <v>112</v>
      </c>
      <c r="B79" s="88"/>
      <c r="C79" s="39">
        <v>750</v>
      </c>
      <c r="D79" s="234"/>
      <c r="E79" s="39"/>
      <c r="F79" s="88">
        <v>812</v>
      </c>
      <c r="G79" s="8"/>
      <c r="H79" s="39"/>
      <c r="I79" s="88">
        <v>267</v>
      </c>
      <c r="J79" s="8"/>
    </row>
    <row r="80" spans="1:12" outlineLevel="1">
      <c r="A80" s="312" t="s">
        <v>67</v>
      </c>
      <c r="B80" s="88"/>
      <c r="C80" s="39">
        <v>93180</v>
      </c>
      <c r="D80" s="8"/>
      <c r="E80" s="39"/>
      <c r="F80" s="88">
        <v>154884</v>
      </c>
      <c r="G80" s="8"/>
      <c r="H80" s="39"/>
      <c r="I80" s="88">
        <v>139360</v>
      </c>
      <c r="J80" s="8"/>
    </row>
    <row r="81" spans="1:10" ht="13" outlineLevel="1">
      <c r="A81" s="314" t="s">
        <v>439</v>
      </c>
      <c r="B81" s="88"/>
      <c r="C81" s="39"/>
      <c r="D81" s="89"/>
      <c r="E81" s="39"/>
      <c r="F81" s="88">
        <v>-11366</v>
      </c>
      <c r="G81" s="89"/>
      <c r="H81" s="39"/>
      <c r="I81" s="88">
        <v>-21515</v>
      </c>
      <c r="J81" s="8"/>
    </row>
    <row r="82" spans="1:10">
      <c r="A82" s="85" t="s">
        <v>79</v>
      </c>
      <c r="B82" s="214"/>
      <c r="C82" s="41"/>
      <c r="D82" s="235"/>
      <c r="E82" s="41"/>
      <c r="F82" s="214"/>
      <c r="G82" s="25"/>
      <c r="H82" s="41"/>
      <c r="I82" s="214">
        <v>-16910</v>
      </c>
      <c r="J82" s="25"/>
    </row>
    <row r="83" spans="1:10">
      <c r="A83" s="312"/>
      <c r="B83" s="88"/>
      <c r="C83" s="39"/>
      <c r="D83" s="234"/>
      <c r="E83" s="39"/>
      <c r="F83" s="88"/>
      <c r="G83" s="8"/>
      <c r="H83" s="39"/>
      <c r="I83" s="88"/>
      <c r="J83" s="8"/>
    </row>
    <row r="84" spans="1:10" ht="13">
      <c r="A84" s="315" t="s">
        <v>294</v>
      </c>
      <c r="B84" s="630">
        <f>+B68+B70+B77</f>
        <v>70584</v>
      </c>
      <c r="C84" s="635">
        <f>+B84/E84-1</f>
        <v>0.30341809318043311</v>
      </c>
      <c r="D84" s="236">
        <f>+B84/$B$14</f>
        <v>1.1869188706715146E-2</v>
      </c>
      <c r="E84" s="323">
        <f>+E68+E70+E77</f>
        <v>54153</v>
      </c>
      <c r="F84" s="94">
        <f>+E84/H84-1</f>
        <v>-0.63225767021146562</v>
      </c>
      <c r="G84" s="35">
        <f>+E84/$E$14</f>
        <v>9.7501524558490198E-3</v>
      </c>
      <c r="H84" s="323">
        <f>+H68+H70+H77</f>
        <v>147258</v>
      </c>
      <c r="I84" s="94"/>
      <c r="J84" s="35">
        <f>+H84/$H$14</f>
        <v>2.8277854141438814E-2</v>
      </c>
    </row>
    <row r="85" spans="1:10">
      <c r="A85" s="312" t="s">
        <v>114</v>
      </c>
      <c r="B85" s="88">
        <f>-(-548+38829)</f>
        <v>-38281</v>
      </c>
      <c r="C85" s="39"/>
      <c r="D85" s="234"/>
      <c r="E85" s="39">
        <f>-(30726-549)</f>
        <v>-30177</v>
      </c>
      <c r="F85" s="88"/>
      <c r="G85" s="8"/>
      <c r="H85" s="39">
        <f>-(31212-549)</f>
        <v>-30663</v>
      </c>
      <c r="I85" s="88"/>
      <c r="J85" s="8"/>
    </row>
    <row r="86" spans="1:10">
      <c r="A86" s="312" t="s">
        <v>91</v>
      </c>
      <c r="B86" s="88">
        <f>-(16889-5124)</f>
        <v>-11765</v>
      </c>
      <c r="C86" s="635">
        <f>+B86/B84</f>
        <v>-0.16668083418338434</v>
      </c>
      <c r="D86" s="234"/>
      <c r="E86" s="39">
        <f>-(39462-20534)</f>
        <v>-18928</v>
      </c>
      <c r="F86" s="94">
        <f>+E86/E84</f>
        <v>-0.34952818865067492</v>
      </c>
      <c r="G86" s="8"/>
      <c r="H86" s="39">
        <f>-(31225-9349)</f>
        <v>-21876</v>
      </c>
      <c r="I86" s="94">
        <f>+H86/H84</f>
        <v>-0.14855559630037077</v>
      </c>
      <c r="J86" s="8"/>
    </row>
    <row r="87" spans="1:10" ht="13" thickBot="1">
      <c r="A87" s="316" t="s">
        <v>232</v>
      </c>
      <c r="B87" s="88"/>
      <c r="C87" s="39"/>
      <c r="D87" s="234"/>
      <c r="E87" s="39"/>
      <c r="F87" s="88"/>
      <c r="G87" s="8"/>
      <c r="H87" s="39"/>
      <c r="I87" s="88"/>
      <c r="J87" s="8"/>
    </row>
    <row r="88" spans="1:10" ht="14" thickBot="1">
      <c r="A88" s="629" t="s">
        <v>137</v>
      </c>
      <c r="B88" s="631">
        <f>+B84+B86+B85</f>
        <v>20538</v>
      </c>
      <c r="C88" s="636">
        <f>+B88/E88-1</f>
        <v>3.0685419968304277</v>
      </c>
      <c r="D88" s="637">
        <f>+B88/$B$14</f>
        <v>3.4536070165832999E-3</v>
      </c>
      <c r="E88" s="326">
        <f>+E84+E86+E85</f>
        <v>5048</v>
      </c>
      <c r="F88" s="639">
        <f>+E88/H88-1</f>
        <v>-0.94670551842819284</v>
      </c>
      <c r="G88" s="107">
        <f>+E88/$E$14</f>
        <v>9.0888352625202392E-4</v>
      </c>
      <c r="H88" s="326">
        <f>+H84+H86+H85</f>
        <v>94719</v>
      </c>
      <c r="I88" s="639"/>
      <c r="J88" s="107">
        <f>+H88/$H$14</f>
        <v>1.8188825506410131E-2</v>
      </c>
    </row>
    <row r="90" spans="1:10">
      <c r="A90" s="1" t="s">
        <v>220</v>
      </c>
      <c r="B90" s="45">
        <f>-(B86+B85)/B84</f>
        <v>0.70902754165249915</v>
      </c>
      <c r="C90" s="1"/>
      <c r="D90" s="1"/>
      <c r="E90" s="45">
        <f>-(E86+E85)/E84</f>
        <v>0.90678263438775319</v>
      </c>
      <c r="F90" s="1"/>
      <c r="G90" s="1"/>
      <c r="H90" s="45">
        <f>-(H86+H85)/H84</f>
        <v>0.35678197449374566</v>
      </c>
    </row>
    <row r="91" spans="1:10">
      <c r="B91" s="92"/>
      <c r="E91" s="327"/>
      <c r="H91" s="328"/>
    </row>
    <row r="92" spans="1:10">
      <c r="B92"/>
      <c r="C92" s="320"/>
      <c r="E92" s="88"/>
    </row>
    <row r="93" spans="1:10">
      <c r="B93" s="320"/>
    </row>
    <row r="94" spans="1:10">
      <c r="B94" s="497">
        <f>50%*B68</f>
        <v>58527</v>
      </c>
      <c r="C94" s="496"/>
    </row>
    <row r="95" spans="1:10">
      <c r="C95" s="496"/>
    </row>
    <row r="96" spans="1:10">
      <c r="B96" s="320"/>
    </row>
    <row r="97" spans="2:2">
      <c r="B97" s="497"/>
    </row>
  </sheetData>
  <mergeCells count="3">
    <mergeCell ref="E13:G13"/>
    <mergeCell ref="H13:J13"/>
    <mergeCell ref="B13:D13"/>
  </mergeCells>
  <phoneticPr fontId="11"/>
  <hyperlinks>
    <hyperlink ref="B3" location="'conto economico va'!C4" display="CONTO ECONOMICO A VALORE AGGIUNTO" xr:uid="{5C3B543A-3228-8940-9A42-A37CC24D2EF0}"/>
    <hyperlink ref="B4" location="'conto economico margine '!C4" display="CONTO ECONOMICO A MARGINE DI CONTRIBUZIONE" xr:uid="{9BAA5666-014A-6541-9D9E-987CCB73F6C8}"/>
    <hyperlink ref="B6" location="'break even'!C4" display="BREAK EVEN" xr:uid="{DC242A57-28FA-8F40-9172-2FE7E3904A07}"/>
    <hyperlink ref="B8" location="'stato patrimoniale'!C4" display="STATO PATRIMONIALE" xr:uid="{12C8C9E7-64FB-0C4A-92E1-641C35115444}"/>
    <hyperlink ref="B9" location="'rendiconto finanziario'!A1" display="RENDICONTO FINANZIARIO" xr:uid="{EB2FB449-6147-8247-897D-F10EE8CAD715}"/>
    <hyperlink ref="B7" location="Pareto!A1" display="PARETO" xr:uid="{2677B604-0E2E-3640-91BF-5F37F4994447}"/>
    <hyperlink ref="B2" location="'bilancio cee'!A1" display="BILANCIO CEE" xr:uid="{DB5842B4-26E9-4F48-966F-9CBE5F189961}"/>
    <hyperlink ref="B5" location="'Conto economico RI'!A1" display="CONTO ECONOMICO RI" xr:uid="{A53F9885-2CD9-0D40-A739-33CDDE2B36A2}"/>
    <hyperlink ref="E3" location="'rendiconto OIC'!A1" display="RENDICONTO OIC" xr:uid="{E40C7E39-9A9B-FC46-947B-EFE3AF60D100}"/>
    <hyperlink ref="E4" location="'flussi di ccn'!A1" display="FLUSSI CCN" xr:uid="{6697D280-5A59-3245-99AC-6109B0D8A3DB}"/>
    <hyperlink ref="E6" location="'albero redditività'!A1" display="ALBERO REDDITITIVITA'" xr:uid="{3CAB4A6F-2C9C-EE4A-B603-043EF4723F02}"/>
    <hyperlink ref="E7" location="indici!A1" display="INDICI" xr:uid="{4741A542-6942-AE47-995F-B1FCB2FE7170}"/>
    <hyperlink ref="E8" location="'indicatori crisi'!A1" display="INDICI DI CRISI" xr:uid="{A5FA6579-7BCE-9740-8107-C33F91535E5E}"/>
    <hyperlink ref="E9" location="valutazione!A1" display="VALUTAZIONE" xr:uid="{5B9DDEAC-6E91-5B48-A50E-65FB410E0E36}"/>
    <hyperlink ref="E2" location="'rendiconto di liquidità'!A1" display="RENDICONTO DI LIQUIDITA'" xr:uid="{5E546917-BE6A-CF46-A868-E0CCFE29096C}"/>
    <hyperlink ref="E5" location="'albero redditività'!A1" display="ALBERO REDDITITIVITA'" xr:uid="{387DE47D-3301-364F-A7FE-381F7402A879}"/>
  </hyperlinks>
  <printOptions horizontalCentered="1" verticalCentered="1"/>
  <pageMargins left="0" right="0" top="0" bottom="0" header="0" footer="0"/>
  <pageSetup paperSize="0" scale="69" orientation="landscape" horizontalDpi="4294967292" verticalDpi="4294967292"/>
  <headerFooter alignWithMargins="0">
    <oddHeader>&amp;L&amp;CPiaggio&amp;R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rgb="FFFFFF00"/>
  </sheetPr>
  <dimension ref="A1:N80"/>
  <sheetViews>
    <sheetView showGridLines="0" topLeftCell="A38" zoomScale="150" zoomScaleNormal="150" workbookViewId="0">
      <selection activeCell="B61" sqref="B61"/>
    </sheetView>
  </sheetViews>
  <sheetFormatPr baseColWidth="10" defaultColWidth="11.5" defaultRowHeight="12"/>
  <cols>
    <col min="1" max="1" width="21.6640625" style="26" customWidth="1"/>
    <col min="2" max="2" width="16.33203125" style="26" customWidth="1"/>
    <col min="3" max="3" width="13.33203125" style="26" bestFit="1" customWidth="1"/>
    <col min="4" max="4" width="7.5" style="26" customWidth="1"/>
    <col min="5" max="5" width="15" style="26" customWidth="1"/>
    <col min="6" max="6" width="13.5" style="26" customWidth="1"/>
    <col min="7" max="7" width="7" style="26" customWidth="1"/>
    <col min="8" max="8" width="16.83203125" customWidth="1"/>
    <col min="9" max="9" width="13.5" customWidth="1"/>
    <col min="10" max="10" width="7" customWidth="1"/>
    <col min="11" max="11" width="10.83203125" customWidth="1"/>
    <col min="12" max="12" width="13.6640625" customWidth="1"/>
    <col min="13" max="13" width="14.6640625" customWidth="1"/>
    <col min="14" max="16" width="10.83203125" customWidth="1"/>
  </cols>
  <sheetData>
    <row r="1" spans="1:13" ht="18">
      <c r="A1" s="454"/>
      <c r="B1" s="454"/>
      <c r="C1"/>
      <c r="D1"/>
      <c r="E1"/>
    </row>
    <row r="2" spans="1:13" ht="18">
      <c r="A2" s="454">
        <v>1</v>
      </c>
      <c r="B2" s="663" t="s">
        <v>659</v>
      </c>
      <c r="C2"/>
      <c r="D2" s="454">
        <v>9</v>
      </c>
      <c r="E2" s="663" t="s">
        <v>610</v>
      </c>
    </row>
    <row r="3" spans="1:13" ht="18">
      <c r="A3" s="454">
        <v>2</v>
      </c>
      <c r="B3" s="663" t="s">
        <v>607</v>
      </c>
      <c r="C3"/>
      <c r="D3" s="454">
        <v>10</v>
      </c>
      <c r="E3" s="663" t="s">
        <v>661</v>
      </c>
    </row>
    <row r="4" spans="1:13" ht="18">
      <c r="A4" s="454">
        <v>3</v>
      </c>
      <c r="B4" s="663" t="s">
        <v>609</v>
      </c>
      <c r="C4"/>
      <c r="D4" s="454">
        <v>11</v>
      </c>
      <c r="E4" s="663" t="s">
        <v>662</v>
      </c>
    </row>
    <row r="5" spans="1:13" ht="18">
      <c r="A5" s="454">
        <v>4</v>
      </c>
      <c r="B5" s="663" t="s">
        <v>660</v>
      </c>
      <c r="C5"/>
      <c r="D5" s="454">
        <v>12</v>
      </c>
      <c r="E5" s="663" t="s">
        <v>663</v>
      </c>
    </row>
    <row r="6" spans="1:13" ht="18">
      <c r="A6" s="454">
        <v>5</v>
      </c>
      <c r="B6" s="663" t="s">
        <v>611</v>
      </c>
      <c r="C6"/>
      <c r="D6" s="454">
        <v>13</v>
      </c>
      <c r="E6" s="663" t="s">
        <v>663</v>
      </c>
    </row>
    <row r="7" spans="1:13" ht="18">
      <c r="A7" s="454">
        <v>6</v>
      </c>
      <c r="B7" s="663" t="s">
        <v>613</v>
      </c>
      <c r="C7"/>
      <c r="D7" s="454">
        <v>14</v>
      </c>
      <c r="E7" s="663" t="s">
        <v>664</v>
      </c>
    </row>
    <row r="8" spans="1:13" ht="18">
      <c r="A8" s="454">
        <v>7</v>
      </c>
      <c r="B8" s="663" t="s">
        <v>612</v>
      </c>
      <c r="C8"/>
      <c r="D8" s="454">
        <v>15</v>
      </c>
      <c r="E8" s="663" t="s">
        <v>665</v>
      </c>
    </row>
    <row r="9" spans="1:13" ht="26">
      <c r="A9" s="454">
        <v>8</v>
      </c>
      <c r="B9" s="663" t="s">
        <v>608</v>
      </c>
      <c r="C9"/>
      <c r="D9" s="454">
        <v>16</v>
      </c>
      <c r="E9" s="663" t="s">
        <v>666</v>
      </c>
      <c r="F9" s="613"/>
      <c r="G9" s="616"/>
      <c r="H9" s="611"/>
      <c r="I9" s="611"/>
      <c r="J9" s="612"/>
      <c r="K9" s="612"/>
      <c r="L9" s="612"/>
    </row>
    <row r="10" spans="1:13" ht="26">
      <c r="A10" s="65"/>
      <c r="B10" s="617"/>
      <c r="C10" s="618"/>
      <c r="D10" s="614"/>
      <c r="E10" s="615"/>
      <c r="F10" s="613"/>
      <c r="G10" s="616"/>
      <c r="H10" s="611"/>
      <c r="I10" s="611"/>
      <c r="J10" s="612"/>
      <c r="K10" s="611"/>
      <c r="L10" s="612"/>
    </row>
    <row r="11" spans="1:13" ht="19">
      <c r="B11" s="65"/>
      <c r="C11" s="65"/>
      <c r="D11" s="65"/>
      <c r="E11" s="613"/>
      <c r="F11" s="619"/>
      <c r="G11" s="619"/>
      <c r="H11" s="619"/>
    </row>
    <row r="12" spans="1:13" ht="13" thickBot="1"/>
    <row r="13" spans="1:13" ht="19">
      <c r="A13" s="121"/>
      <c r="B13" s="762" t="s">
        <v>434</v>
      </c>
      <c r="C13" s="763"/>
      <c r="D13" s="764"/>
      <c r="E13" s="762" t="s">
        <v>435</v>
      </c>
      <c r="F13" s="763"/>
      <c r="G13" s="764"/>
      <c r="H13" s="762" t="s">
        <v>436</v>
      </c>
      <c r="I13" s="763"/>
      <c r="J13" s="764"/>
    </row>
    <row r="14" spans="1:13" ht="16">
      <c r="A14" s="118" t="s">
        <v>68</v>
      </c>
      <c r="B14" s="159">
        <f>SUM(C15:C17)</f>
        <v>5946826</v>
      </c>
      <c r="C14" s="443">
        <f>+B14/E14-1</f>
        <v>7.0715567529163748E-2</v>
      </c>
      <c r="D14" s="451" t="s">
        <v>440</v>
      </c>
      <c r="E14" s="159">
        <f>SUM(F15:F17)</f>
        <v>5554067</v>
      </c>
      <c r="F14" s="111"/>
      <c r="G14" s="160"/>
      <c r="H14" s="216">
        <f>SUM(I15:I17)</f>
        <v>5207538</v>
      </c>
      <c r="I14" s="111"/>
      <c r="J14" s="160"/>
      <c r="L14" s="620"/>
      <c r="M14" s="93"/>
    </row>
    <row r="15" spans="1:13">
      <c r="A15" s="109"/>
      <c r="B15" s="169"/>
      <c r="C15" s="111"/>
      <c r="D15"/>
      <c r="E15" s="220"/>
      <c r="F15" s="111"/>
      <c r="G15" s="221"/>
      <c r="H15" s="217"/>
      <c r="I15" s="110"/>
      <c r="J15" s="8"/>
    </row>
    <row r="16" spans="1:13">
      <c r="A16" s="109" t="str">
        <f>+'conto economico va'!A16</f>
        <v>Ricavi Netti</v>
      </c>
      <c r="B16" s="109"/>
      <c r="C16" s="109">
        <f>+'conto economico va'!C16</f>
        <v>5946826</v>
      </c>
      <c r="D16"/>
      <c r="E16" s="161"/>
      <c r="F16" s="109">
        <f>+'conto economico va'!F16</f>
        <v>5554067</v>
      </c>
      <c r="G16" s="221"/>
      <c r="H16" s="217"/>
      <c r="I16" s="109">
        <f>+'conto economico va'!I16</f>
        <v>5207538</v>
      </c>
      <c r="J16" s="8"/>
    </row>
    <row r="17" spans="1:13">
      <c r="A17" s="109"/>
      <c r="B17" s="109"/>
      <c r="C17" s="109"/>
      <c r="D17"/>
      <c r="E17" s="161"/>
      <c r="F17" s="109"/>
      <c r="G17" s="221"/>
      <c r="H17" s="217"/>
      <c r="I17" s="109"/>
      <c r="J17" s="8"/>
    </row>
    <row r="18" spans="1:13">
      <c r="A18" s="109"/>
      <c r="B18" s="109"/>
      <c r="C18" s="112"/>
      <c r="D18"/>
      <c r="E18" s="161"/>
      <c r="F18" s="112"/>
      <c r="G18" s="221"/>
      <c r="H18" s="217"/>
      <c r="I18" s="112"/>
      <c r="J18" s="8"/>
    </row>
    <row r="19" spans="1:13" ht="16">
      <c r="A19" s="116" t="s">
        <v>185</v>
      </c>
      <c r="B19" s="116">
        <f>SUM(C20:C36)</f>
        <v>4291551</v>
      </c>
      <c r="C19" s="452" t="s">
        <v>495</v>
      </c>
      <c r="D19" s="222">
        <f>+B19/$B$14</f>
        <v>0.72165403864178979</v>
      </c>
      <c r="E19" s="162">
        <f>SUM(F20:F36)</f>
        <v>3982267</v>
      </c>
      <c r="F19" s="42"/>
      <c r="G19" s="222">
        <f>+E19/$E$14</f>
        <v>0.71700017302636065</v>
      </c>
      <c r="H19" s="218">
        <f>SUM(I20:I36)</f>
        <v>3575508</v>
      </c>
      <c r="I19" s="42"/>
      <c r="J19" s="163">
        <f>+H19/$H$14</f>
        <v>0.68660238293028297</v>
      </c>
      <c r="L19" s="620"/>
      <c r="M19" s="93"/>
    </row>
    <row r="20" spans="1:13" ht="13">
      <c r="A20" s="114"/>
      <c r="B20" s="109"/>
      <c r="C20" s="113"/>
      <c r="D20" s="170"/>
      <c r="E20" s="161"/>
      <c r="F20" s="113"/>
      <c r="G20" s="223"/>
      <c r="H20" s="217"/>
      <c r="I20" s="113"/>
      <c r="J20" s="37"/>
    </row>
    <row r="21" spans="1:13" ht="13">
      <c r="A21" s="114" t="str">
        <f>+'conto economico va'!A20</f>
        <v>Variazioni prodotti in lavorazione</v>
      </c>
      <c r="B21" s="109"/>
      <c r="C21" s="114">
        <f>+'conto economico va'!C20</f>
        <v>-32001</v>
      </c>
      <c r="D21" s="170"/>
      <c r="E21" s="161"/>
      <c r="F21" s="114">
        <f>+'conto economico va'!F20</f>
        <v>-269779</v>
      </c>
      <c r="G21" s="223"/>
      <c r="H21" s="217"/>
      <c r="I21" s="114">
        <f>+'conto economico va'!I20</f>
        <v>76819</v>
      </c>
      <c r="J21" s="37"/>
    </row>
    <row r="22" spans="1:13" ht="13">
      <c r="A22" s="114" t="str">
        <f>+'conto economico va'!A21</f>
        <v>Materie prime, sussidiarie e merci</v>
      </c>
      <c r="B22" s="161">
        <f>+C22+C21</f>
        <v>3547779</v>
      </c>
      <c r="C22" s="114">
        <f>+'conto economico va'!C21</f>
        <v>3579780</v>
      </c>
      <c r="D22" s="222">
        <f>+C22/B$14</f>
        <v>0.6019648128262034</v>
      </c>
      <c r="E22" s="161">
        <f>+F22+F21</f>
        <v>3319606</v>
      </c>
      <c r="F22" s="114">
        <f>+'conto economico va'!F21</f>
        <v>3589385</v>
      </c>
      <c r="G22" s="222">
        <f>+F22/E$14</f>
        <v>0.64626245956341544</v>
      </c>
      <c r="H22" s="217"/>
      <c r="I22" s="114">
        <f>+'conto economico va'!I21</f>
        <v>2906371</v>
      </c>
      <c r="J22" s="163">
        <f>+I22/$H$14</f>
        <v>0.55810845739387782</v>
      </c>
    </row>
    <row r="23" spans="1:13" ht="13">
      <c r="A23" s="114" t="str">
        <f>+'conto economico va'!A22</f>
        <v xml:space="preserve">Trasporti per consegna merci </v>
      </c>
      <c r="B23" s="444">
        <f>+B22/B14</f>
        <v>0.59658362292759193</v>
      </c>
      <c r="C23" s="114">
        <f>+'conto economico va'!C22</f>
        <v>135582</v>
      </c>
      <c r="D23" s="222">
        <f>+C23/B$14</f>
        <v>2.279905280564792E-2</v>
      </c>
      <c r="E23" s="444">
        <f>+E22/E14</f>
        <v>0.59768922485090659</v>
      </c>
      <c r="F23" s="114">
        <f>+'conto economico va'!F22</f>
        <v>133650</v>
      </c>
      <c r="G23" s="222">
        <f>+F23/E$14</f>
        <v>2.4063447560139263E-2</v>
      </c>
      <c r="H23" s="217"/>
      <c r="I23" s="114">
        <f>+'conto economico va'!I22</f>
        <v>125585</v>
      </c>
      <c r="J23" s="163">
        <f>+I23/$H$14</f>
        <v>2.4116002610062567E-2</v>
      </c>
    </row>
    <row r="24" spans="1:13" ht="13">
      <c r="A24" s="114" t="str">
        <f>+'conto economico va'!A23</f>
        <v>Energia elettrica</v>
      </c>
      <c r="B24" s="109"/>
      <c r="C24" s="114">
        <f>+'conto economico va'!C23</f>
        <v>133696</v>
      </c>
      <c r="D24" s="222">
        <f>+C24/B$14</f>
        <v>2.2481908836747534E-2</v>
      </c>
      <c r="E24" s="161"/>
      <c r="F24" s="114">
        <f>+'conto economico va'!F23</f>
        <v>115310</v>
      </c>
      <c r="G24" s="222">
        <f>+F24/E$14</f>
        <v>2.0761362799548513E-2</v>
      </c>
      <c r="H24" s="217"/>
      <c r="I24" s="114">
        <f>+'conto economico va'!I23</f>
        <v>93955</v>
      </c>
      <c r="J24" s="163">
        <f>+I24/$H$14</f>
        <v>1.8042115103144709E-2</v>
      </c>
    </row>
    <row r="25" spans="1:13" ht="13">
      <c r="A25" s="114" t="str">
        <f>+'conto economico va'!A24</f>
        <v>Gas e riscaldamento</v>
      </c>
      <c r="B25" s="109"/>
      <c r="C25" s="114">
        <f>+'conto economico va'!C24</f>
        <v>12923</v>
      </c>
      <c r="D25" s="170"/>
      <c r="E25" s="161"/>
      <c r="F25" s="114">
        <f>+'conto economico va'!F24</f>
        <v>13875</v>
      </c>
      <c r="G25" s="223"/>
      <c r="H25" s="217"/>
      <c r="I25" s="114">
        <f>+'conto economico va'!I24</f>
        <v>13626</v>
      </c>
      <c r="J25" s="37"/>
    </row>
    <row r="26" spans="1:13" ht="13">
      <c r="A26" s="114" t="str">
        <f>+'conto economico va'!A25</f>
        <v>Spese telefoniche e postali</v>
      </c>
      <c r="B26" s="109"/>
      <c r="C26" s="114">
        <f>+'conto economico va'!C25</f>
        <v>11596</v>
      </c>
      <c r="D26" s="170"/>
      <c r="E26" s="161"/>
      <c r="F26" s="114">
        <f>+'conto economico va'!F25</f>
        <v>14189</v>
      </c>
      <c r="G26" s="223"/>
      <c r="H26" s="217"/>
      <c r="I26" s="114">
        <f>+'conto economico va'!I25</f>
        <v>15271</v>
      </c>
      <c r="J26" s="37"/>
    </row>
    <row r="27" spans="1:13" ht="13">
      <c r="A27" s="114" t="str">
        <f>+'conto economico va'!A26</f>
        <v>Rimborsi chilometrici</v>
      </c>
      <c r="B27" s="109"/>
      <c r="C27" s="114">
        <f>+'conto economico va'!C26</f>
        <v>9776</v>
      </c>
      <c r="D27" s="170"/>
      <c r="E27" s="161"/>
      <c r="F27" s="114">
        <f>+'conto economico va'!F26</f>
        <v>9051</v>
      </c>
      <c r="G27" s="223"/>
      <c r="H27" s="217"/>
      <c r="I27" s="114">
        <f>+'conto economico va'!I26</f>
        <v>9139</v>
      </c>
      <c r="J27" s="37"/>
    </row>
    <row r="28" spans="1:13" ht="13">
      <c r="A28" s="114" t="str">
        <f>+'conto economico va'!A27</f>
        <v>Viaggi</v>
      </c>
      <c r="B28" s="109"/>
      <c r="C28" s="114">
        <f>+'conto economico va'!C27</f>
        <v>0</v>
      </c>
      <c r="D28" s="170"/>
      <c r="E28" s="161"/>
      <c r="F28" s="114">
        <f>+'conto economico va'!F27</f>
        <v>502</v>
      </c>
      <c r="G28" s="223"/>
      <c r="H28" s="217"/>
      <c r="I28" s="114">
        <f>+'conto economico va'!I27</f>
        <v>0</v>
      </c>
      <c r="J28" s="37"/>
    </row>
    <row r="29" spans="1:13" ht="13">
      <c r="A29" s="114" t="str">
        <f>+'conto economico va'!A35</f>
        <v>Servizi commerciali</v>
      </c>
      <c r="B29" s="109"/>
      <c r="C29" s="114">
        <f>+'conto economico va'!C35</f>
        <v>123618</v>
      </c>
      <c r="D29" s="170"/>
      <c r="E29" s="161"/>
      <c r="F29" s="114">
        <f>+'conto economico va'!F35</f>
        <v>115432</v>
      </c>
      <c r="G29" s="223"/>
      <c r="H29" s="217"/>
      <c r="I29" s="114">
        <f>+'conto economico va'!I35</f>
        <v>114917</v>
      </c>
      <c r="J29" s="37"/>
    </row>
    <row r="30" spans="1:13" ht="13">
      <c r="A30" s="114" t="str">
        <f>+'conto economico va'!A36</f>
        <v>Provvigioni a intermediari</v>
      </c>
      <c r="B30" s="109"/>
      <c r="C30" s="114">
        <f>+'conto economico va'!C36</f>
        <v>253624</v>
      </c>
      <c r="D30" s="222">
        <f>+C30/B$14</f>
        <v>4.2648633069136375E-2</v>
      </c>
      <c r="E30" s="161"/>
      <c r="F30" s="114">
        <f>+'conto economico va'!F36</f>
        <v>255157</v>
      </c>
      <c r="G30" s="222">
        <f>+F30/E$14</f>
        <v>4.5940569316142564E-2</v>
      </c>
      <c r="H30" s="217"/>
      <c r="I30" s="114">
        <f>+'conto economico va'!I36</f>
        <v>207862</v>
      </c>
      <c r="J30" s="222">
        <f>+I30/H$14</f>
        <v>3.9915599271671182E-2</v>
      </c>
    </row>
    <row r="31" spans="1:13" ht="13">
      <c r="A31" s="114" t="str">
        <f>+'conto economico va'!A37</f>
        <v>Indennità agenti scioglimento rapporto</v>
      </c>
      <c r="B31" s="109"/>
      <c r="C31" s="114">
        <f>+'conto economico va'!C37</f>
        <v>2408</v>
      </c>
      <c r="D31" s="170"/>
      <c r="E31" s="161"/>
      <c r="F31" s="114">
        <f>+'conto economico va'!F37</f>
        <v>2701</v>
      </c>
      <c r="G31" s="223"/>
      <c r="H31" s="217"/>
      <c r="I31" s="114">
        <f>+'conto economico va'!I37</f>
        <v>7208</v>
      </c>
      <c r="J31" s="37"/>
    </row>
    <row r="32" spans="1:13" ht="13">
      <c r="A32" s="114" t="str">
        <f>+'conto economico va'!A39</f>
        <v>Consulenze commerciali</v>
      </c>
      <c r="B32" s="109"/>
      <c r="C32" s="114">
        <f>+'conto economico va'!C39</f>
        <v>0</v>
      </c>
      <c r="D32" s="170"/>
      <c r="E32" s="161"/>
      <c r="F32" s="114">
        <f>+'conto economico va'!F39</f>
        <v>7205</v>
      </c>
      <c r="G32" s="223"/>
      <c r="H32" s="217"/>
      <c r="I32" s="114">
        <f>+'conto economico va'!I39</f>
        <v>7492</v>
      </c>
      <c r="J32" s="37"/>
    </row>
    <row r="33" spans="1:14" ht="13">
      <c r="A33" s="114" t="str">
        <f>+'conto economico va'!A49</f>
        <v>Variazione rimanenze materie prime</v>
      </c>
      <c r="B33" s="109"/>
      <c r="C33" s="114">
        <f>+'conto economico va'!C49</f>
        <v>16402</v>
      </c>
      <c r="D33" s="170"/>
      <c r="E33" s="161"/>
      <c r="F33" s="114">
        <f>+'conto economico va'!F49</f>
        <v>-44069</v>
      </c>
      <c r="G33" s="223"/>
      <c r="H33" s="217"/>
      <c r="I33" s="114">
        <f>+'conto economico va'!I49</f>
        <v>-40391</v>
      </c>
      <c r="J33" s="37"/>
    </row>
    <row r="34" spans="1:14" ht="13">
      <c r="A34" s="114" t="str">
        <f>+'conto economico va'!A50</f>
        <v>Oneri diversi di gestione</v>
      </c>
      <c r="B34" s="109"/>
      <c r="C34" s="114">
        <f>+'conto economico va'!C50</f>
        <v>44147</v>
      </c>
      <c r="D34" s="170"/>
      <c r="E34" s="161"/>
      <c r="F34" s="114">
        <f>+'conto economico va'!F50</f>
        <v>39658</v>
      </c>
      <c r="G34" s="223"/>
      <c r="H34" s="217"/>
      <c r="I34" s="114">
        <f>+'conto economico va'!I50</f>
        <v>37654</v>
      </c>
      <c r="J34" s="37"/>
    </row>
    <row r="35" spans="1:14" ht="13">
      <c r="A35" s="114"/>
      <c r="B35" s="109"/>
      <c r="C35" s="113"/>
      <c r="D35" s="11"/>
      <c r="E35" s="161"/>
      <c r="F35" s="113"/>
      <c r="G35" s="224"/>
      <c r="H35" s="217"/>
      <c r="I35" s="113"/>
      <c r="J35" s="31"/>
    </row>
    <row r="36" spans="1:14" ht="13">
      <c r="A36" s="109"/>
      <c r="B36" s="109"/>
      <c r="C36" s="113"/>
      <c r="D36"/>
      <c r="E36" s="161"/>
      <c r="F36" s="113"/>
      <c r="G36" s="221"/>
      <c r="H36" s="217"/>
      <c r="I36" s="113"/>
      <c r="J36" s="8"/>
    </row>
    <row r="37" spans="1:14" ht="13">
      <c r="A37" s="15" t="s">
        <v>99</v>
      </c>
      <c r="B37" s="15">
        <f>+B14-B19</f>
        <v>1655275</v>
      </c>
      <c r="C37" s="113"/>
      <c r="D37" s="610">
        <f>+B37/$B$14</f>
        <v>0.27834596135821027</v>
      </c>
      <c r="E37" s="165">
        <f>+E14-E19</f>
        <v>1571800</v>
      </c>
      <c r="F37" s="117"/>
      <c r="G37" s="222">
        <f>+E37/$E$14</f>
        <v>0.28299982697363929</v>
      </c>
      <c r="H37" s="219">
        <f>+H14-H19</f>
        <v>1632030</v>
      </c>
      <c r="I37" s="117"/>
      <c r="J37" s="9">
        <f>+H37/$H$14</f>
        <v>0.31339761706971703</v>
      </c>
      <c r="L37" s="621"/>
      <c r="M37" s="45"/>
      <c r="N37" s="93"/>
    </row>
    <row r="38" spans="1:14" ht="13">
      <c r="A38" s="110"/>
      <c r="B38" s="110"/>
      <c r="C38" s="113"/>
      <c r="D38"/>
      <c r="E38" s="166"/>
      <c r="F38" s="110"/>
      <c r="G38" s="221"/>
      <c r="H38" s="127"/>
      <c r="I38" s="110"/>
      <c r="J38" s="8"/>
    </row>
    <row r="39" spans="1:14" ht="16">
      <c r="A39" s="116" t="s">
        <v>184</v>
      </c>
      <c r="B39" s="116">
        <f>SUM(C40:C58)</f>
        <v>1538221</v>
      </c>
      <c r="C39" s="42"/>
      <c r="D39" s="222">
        <f>+B39/$B$14</f>
        <v>0.25866252014099622</v>
      </c>
      <c r="E39" s="162">
        <f>SUM(F40:F58)</f>
        <v>1541008</v>
      </c>
      <c r="F39" s="42"/>
      <c r="G39" s="225">
        <f>+E39/$E$14</f>
        <v>0.27745578150209566</v>
      </c>
      <c r="H39" s="218">
        <f>SUM(I40:I58)</f>
        <v>1466031</v>
      </c>
      <c r="I39" s="42"/>
      <c r="J39" s="163">
        <f>+H39/$H$14</f>
        <v>0.28152094137383155</v>
      </c>
      <c r="L39" s="620"/>
    </row>
    <row r="40" spans="1:14">
      <c r="A40" s="114" t="s">
        <v>228</v>
      </c>
      <c r="B40" s="109"/>
      <c r="C40" s="114">
        <f>+'conto economico va'!B53</f>
        <v>839729</v>
      </c>
      <c r="D40" s="11"/>
      <c r="E40" s="161"/>
      <c r="F40" s="114">
        <f>+'conto economico va'!E53</f>
        <v>809815</v>
      </c>
      <c r="G40" s="224"/>
      <c r="H40" s="217"/>
      <c r="I40" s="114">
        <f>+'conto economico va'!H53</f>
        <v>790176</v>
      </c>
      <c r="J40" s="31"/>
    </row>
    <row r="41" spans="1:14">
      <c r="A41" s="114" t="s">
        <v>262</v>
      </c>
      <c r="B41" s="109"/>
      <c r="C41" s="114">
        <f>+'conto economico va'!B63</f>
        <v>312589</v>
      </c>
      <c r="D41" s="11"/>
      <c r="E41" s="161"/>
      <c r="F41" s="114">
        <f>+'conto economico va'!E63</f>
        <v>374668</v>
      </c>
      <c r="G41" s="224"/>
      <c r="H41" s="217"/>
      <c r="I41" s="114">
        <f>+'conto economico va'!H63</f>
        <v>317744</v>
      </c>
      <c r="J41" s="31"/>
    </row>
    <row r="42" spans="1:14">
      <c r="A42" s="114" t="str">
        <f>+'conto economico va'!A28</f>
        <v>Manutenzione macchinari e impianti</v>
      </c>
      <c r="B42" s="109"/>
      <c r="C42" s="114">
        <f>+'conto economico va'!C28</f>
        <v>98642</v>
      </c>
      <c r="D42" s="11"/>
      <c r="E42" s="161"/>
      <c r="F42" s="114">
        <f>+'conto economico va'!F28</f>
        <v>66037</v>
      </c>
      <c r="G42" s="224"/>
      <c r="H42" s="217"/>
      <c r="I42" s="114">
        <f>+'conto economico va'!I28</f>
        <v>86984</v>
      </c>
      <c r="J42" s="31"/>
    </row>
    <row r="43" spans="1:14">
      <c r="A43" s="114" t="str">
        <f>+'conto economico va'!A29</f>
        <v>Canoni di manutenzione macchine d’ufficio</v>
      </c>
      <c r="B43" s="109"/>
      <c r="C43" s="114">
        <f>+'conto economico va'!C29</f>
        <v>2977</v>
      </c>
      <c r="D43" s="11"/>
      <c r="E43" s="161"/>
      <c r="F43" s="114">
        <f>+'conto economico va'!F29</f>
        <v>4100</v>
      </c>
      <c r="G43" s="224"/>
      <c r="H43" s="217"/>
      <c r="I43" s="114">
        <f>+'conto economico va'!I29</f>
        <v>4317</v>
      </c>
      <c r="J43" s="31"/>
    </row>
    <row r="44" spans="1:14">
      <c r="A44" s="114" t="str">
        <f>+'conto economico va'!A30</f>
        <v>Consulenze amministrative</v>
      </c>
      <c r="B44" s="109"/>
      <c r="C44" s="114">
        <f>+'conto economico va'!C30</f>
        <v>28182</v>
      </c>
      <c r="D44" s="11"/>
      <c r="E44" s="161"/>
      <c r="F44" s="114">
        <f>+'conto economico va'!F30</f>
        <v>29000</v>
      </c>
      <c r="G44" s="224"/>
      <c r="H44" s="217"/>
      <c r="I44" s="114">
        <f>+'conto economico va'!I30</f>
        <v>28441</v>
      </c>
      <c r="J44" s="31"/>
      <c r="L44" s="91"/>
    </row>
    <row r="45" spans="1:14">
      <c r="A45" s="114" t="str">
        <f>+'conto economico va'!A31</f>
        <v>Compensi ai sindaci</v>
      </c>
      <c r="B45" s="109"/>
      <c r="C45" s="114">
        <f>+'conto economico va'!C31</f>
        <v>23504</v>
      </c>
      <c r="D45" s="11"/>
      <c r="E45" s="161"/>
      <c r="F45" s="114">
        <f>+'conto economico va'!F31</f>
        <v>23498</v>
      </c>
      <c r="G45" s="224"/>
      <c r="H45" s="217"/>
      <c r="I45" s="114">
        <f>+'conto economico va'!I31</f>
        <v>17738</v>
      </c>
      <c r="J45" s="31"/>
    </row>
    <row r="46" spans="1:14">
      <c r="A46" s="114" t="str">
        <f>+'conto economico va'!A32</f>
        <v>Ricerca, addestramento e formazione</v>
      </c>
      <c r="B46" s="109"/>
      <c r="C46" s="114">
        <f>+'conto economico va'!C32</f>
        <v>1515</v>
      </c>
      <c r="D46" s="11"/>
      <c r="E46" s="161"/>
      <c r="F46" s="114">
        <f>+'conto economico va'!F32</f>
        <v>0</v>
      </c>
      <c r="G46" s="224"/>
      <c r="H46" s="217"/>
      <c r="I46" s="114">
        <f>+'conto economico va'!I32</f>
        <v>835</v>
      </c>
      <c r="J46" s="31"/>
    </row>
    <row r="47" spans="1:14">
      <c r="A47" s="114" t="str">
        <f>+'conto economico va'!A33</f>
        <v>Consulenze tecniche, spese di analisi e prove di laboratorio</v>
      </c>
      <c r="B47" s="109"/>
      <c r="C47" s="114">
        <f>+'conto economico va'!C33</f>
        <v>27708</v>
      </c>
      <c r="D47" s="11"/>
      <c r="E47" s="161"/>
      <c r="F47" s="114">
        <f>+'conto economico va'!F33</f>
        <v>25021</v>
      </c>
      <c r="G47" s="224"/>
      <c r="H47" s="217"/>
      <c r="I47" s="114">
        <f>+'conto economico va'!I33</f>
        <v>30127</v>
      </c>
      <c r="J47" s="31"/>
    </row>
    <row r="48" spans="1:14">
      <c r="A48" s="114" t="str">
        <f>+'conto economico va'!A34</f>
        <v>Pulizia esterna</v>
      </c>
      <c r="B48" s="109"/>
      <c r="C48" s="114">
        <f>+'conto economico va'!C34</f>
        <v>17349</v>
      </c>
      <c r="D48" s="11"/>
      <c r="E48" s="161"/>
      <c r="F48" s="114">
        <f>+'conto economico va'!F34</f>
        <v>17121</v>
      </c>
      <c r="G48" s="224"/>
      <c r="H48" s="217"/>
      <c r="I48" s="114">
        <f>+'conto economico va'!I34</f>
        <v>16743</v>
      </c>
      <c r="J48" s="31"/>
    </row>
    <row r="49" spans="1:12">
      <c r="A49" s="114" t="str">
        <f>+'conto economico va'!A38</f>
        <v>Servizio agenzie lavoro interinale</v>
      </c>
      <c r="B49" s="109"/>
      <c r="C49" s="114">
        <f>+'conto economico va'!C38</f>
        <v>29327</v>
      </c>
      <c r="D49" s="11"/>
      <c r="E49" s="161"/>
      <c r="F49" s="114">
        <f>+'conto economico va'!F38</f>
        <v>29304</v>
      </c>
      <c r="G49" s="224"/>
      <c r="H49" s="217"/>
      <c r="I49" s="114">
        <f>+'conto economico va'!I38</f>
        <v>29448</v>
      </c>
      <c r="J49" s="31"/>
    </row>
    <row r="50" spans="1:12">
      <c r="A50" s="114" t="str">
        <f>+'conto economico va'!A40</f>
        <v>Pubblicità</v>
      </c>
      <c r="B50" s="109"/>
      <c r="C50" s="114">
        <f>+'conto economico va'!C40</f>
        <v>25542</v>
      </c>
      <c r="D50" s="11"/>
      <c r="E50" s="161"/>
      <c r="F50" s="114">
        <f>+'conto economico va'!F40</f>
        <v>24134</v>
      </c>
      <c r="G50" s="224"/>
      <c r="H50" s="217"/>
      <c r="I50" s="114">
        <f>+'conto economico va'!I40</f>
        <v>30525</v>
      </c>
      <c r="J50" s="31"/>
    </row>
    <row r="51" spans="1:12">
      <c r="A51" s="114" t="str">
        <f>+'conto economico va'!A41</f>
        <v>Mostre e fiere</v>
      </c>
      <c r="B51" s="109"/>
      <c r="C51" s="114">
        <f>+'conto economico va'!C41</f>
        <v>47156</v>
      </c>
      <c r="D51" s="11"/>
      <c r="E51" s="161"/>
      <c r="F51" s="114">
        <f>+'conto economico va'!F41</f>
        <v>61196</v>
      </c>
      <c r="G51" s="224"/>
      <c r="H51" s="217"/>
      <c r="I51" s="114">
        <f>+'conto economico va'!I41</f>
        <v>44791</v>
      </c>
      <c r="J51" s="31"/>
    </row>
    <row r="52" spans="1:12">
      <c r="A52" s="114" t="str">
        <f>+'conto economico va'!A42</f>
        <v>Spese di rappresentanza e promozionali</v>
      </c>
      <c r="B52" s="109"/>
      <c r="C52" s="114">
        <f>+'conto economico va'!C42</f>
        <v>10812</v>
      </c>
      <c r="D52" s="11"/>
      <c r="E52" s="161"/>
      <c r="F52" s="114">
        <f>+'conto economico va'!F42</f>
        <v>13542</v>
      </c>
      <c r="G52" s="224"/>
      <c r="H52" s="217"/>
      <c r="I52" s="114">
        <f>+'conto economico va'!I42</f>
        <v>16255</v>
      </c>
      <c r="J52" s="31"/>
    </row>
    <row r="53" spans="1:12">
      <c r="A53" s="114" t="str">
        <f>+'conto economico va'!A43</f>
        <v xml:space="preserve">Assicurazioni diverse                                     </v>
      </c>
      <c r="B53" s="109"/>
      <c r="C53" s="114">
        <f>+'conto economico va'!C43</f>
        <v>15714</v>
      </c>
      <c r="D53" s="11"/>
      <c r="E53" s="161"/>
      <c r="F53" s="114">
        <f>+'conto economico va'!F43</f>
        <v>15326</v>
      </c>
      <c r="G53" s="224"/>
      <c r="H53" s="217"/>
      <c r="I53" s="114">
        <f>+'conto economico va'!I43</f>
        <v>15982</v>
      </c>
      <c r="J53" s="31"/>
    </row>
    <row r="54" spans="1:12">
      <c r="A54" s="114" t="str">
        <f>+'conto economico va'!A44</f>
        <v xml:space="preserve">Assicurazione automezzi                                               </v>
      </c>
      <c r="B54" s="109"/>
      <c r="C54" s="114">
        <f>+'conto economico va'!C44</f>
        <v>2432</v>
      </c>
      <c r="D54" s="11"/>
      <c r="E54" s="161"/>
      <c r="F54" s="114">
        <f>+'conto economico va'!F44</f>
        <v>2233</v>
      </c>
      <c r="G54" s="224"/>
      <c r="H54" s="217"/>
      <c r="I54" s="114">
        <f>+'conto economico va'!I44</f>
        <v>2372</v>
      </c>
      <c r="J54" s="31"/>
    </row>
    <row r="55" spans="1:12">
      <c r="A55" s="114" t="str">
        <f>+'conto economico va'!A45</f>
        <v>Associazioni e pubblicazioni</v>
      </c>
      <c r="B55" s="109"/>
      <c r="C55" s="114">
        <f>+'conto economico va'!C45</f>
        <v>5579</v>
      </c>
      <c r="D55" s="11"/>
      <c r="E55" s="161"/>
      <c r="F55" s="114">
        <f>+'conto economico va'!F45</f>
        <v>9734</v>
      </c>
      <c r="G55" s="224"/>
      <c r="H55" s="217"/>
      <c r="I55" s="114">
        <f>+'conto economico va'!I45</f>
        <v>5510</v>
      </c>
      <c r="J55" s="31"/>
    </row>
    <row r="56" spans="1:12">
      <c r="A56" s="114" t="str">
        <f>+'conto economico va'!A46</f>
        <v>Altre spese di produzione e spese varie</v>
      </c>
      <c r="B56" s="109"/>
      <c r="C56" s="114">
        <f>+'conto economico va'!C46</f>
        <v>29920</v>
      </c>
      <c r="D56" s="11"/>
      <c r="E56" s="161"/>
      <c r="F56" s="114">
        <f>+'conto economico va'!F46</f>
        <v>17162</v>
      </c>
      <c r="G56" s="224"/>
      <c r="H56" s="217"/>
      <c r="I56" s="114">
        <f>+'conto economico va'!I46</f>
        <v>11763</v>
      </c>
      <c r="J56" s="31"/>
    </row>
    <row r="57" spans="1:12">
      <c r="A57" s="114" t="str">
        <f>+'conto economico va'!A47</f>
        <v>Godimento di beni di terzi</v>
      </c>
      <c r="B57" s="109"/>
      <c r="C57" s="114">
        <f>+'conto economico va'!C47</f>
        <v>17396</v>
      </c>
      <c r="D57" s="11"/>
      <c r="E57" s="161"/>
      <c r="F57" s="114">
        <f>+'conto economico va'!F47</f>
        <v>17113</v>
      </c>
      <c r="G57" s="224"/>
      <c r="H57" s="217"/>
      <c r="I57" s="114">
        <f>+'conto economico va'!I47</f>
        <v>16110</v>
      </c>
      <c r="J57" s="31"/>
    </row>
    <row r="58" spans="1:12">
      <c r="A58" s="114" t="str">
        <f>+'conto economico va'!A48</f>
        <v>Altri costi</v>
      </c>
      <c r="B58" s="109"/>
      <c r="C58" s="114">
        <f>+'conto economico va'!C48</f>
        <v>2148</v>
      </c>
      <c r="D58" s="11"/>
      <c r="E58" s="161"/>
      <c r="F58" s="114">
        <f>+'conto economico va'!F48</f>
        <v>2004</v>
      </c>
      <c r="G58" s="224"/>
      <c r="H58" s="217"/>
      <c r="I58" s="114">
        <f>+'conto economico va'!I48</f>
        <v>170</v>
      </c>
      <c r="J58" s="31"/>
    </row>
    <row r="59" spans="1:12">
      <c r="A59" s="119"/>
      <c r="B59" s="119"/>
      <c r="C59" s="86"/>
      <c r="D59" s="12"/>
      <c r="E59" s="226"/>
      <c r="F59" s="86"/>
      <c r="G59" s="227"/>
      <c r="H59" s="217"/>
      <c r="I59" s="115"/>
      <c r="J59" s="8"/>
    </row>
    <row r="60" spans="1:12">
      <c r="A60" s="109"/>
      <c r="B60" s="109"/>
      <c r="C60" s="110"/>
      <c r="D60"/>
      <c r="E60" s="161"/>
      <c r="F60" s="110"/>
      <c r="G60" s="221"/>
      <c r="H60" s="217"/>
      <c r="I60" s="110"/>
      <c r="J60" s="8"/>
    </row>
    <row r="61" spans="1:12" ht="13">
      <c r="A61" s="15" t="s">
        <v>59</v>
      </c>
      <c r="B61" s="15">
        <f>+B37-B39</f>
        <v>117054</v>
      </c>
      <c r="C61" s="14"/>
      <c r="D61" s="222">
        <f>+B61/$B$14</f>
        <v>1.9683441217214024E-2</v>
      </c>
      <c r="E61" s="165">
        <f>+E37-E39</f>
        <v>30792</v>
      </c>
      <c r="F61" s="14"/>
      <c r="G61" s="222">
        <f>+E61/$E$14</f>
        <v>5.5440454715436453E-3</v>
      </c>
      <c r="H61" s="219">
        <f>+H37-H39</f>
        <v>165999</v>
      </c>
      <c r="I61" s="14"/>
      <c r="J61" s="9">
        <f>+H61/$H$14</f>
        <v>3.1876675695885467E-2</v>
      </c>
      <c r="L61" s="621"/>
    </row>
    <row r="62" spans="1:12">
      <c r="A62" s="109"/>
      <c r="B62" s="109"/>
      <c r="C62" s="110"/>
      <c r="D62"/>
      <c r="E62" s="161"/>
      <c r="F62" s="110"/>
      <c r="G62" s="221"/>
      <c r="H62" s="217"/>
      <c r="I62" s="110"/>
      <c r="J62" s="8"/>
    </row>
    <row r="63" spans="1:12" ht="16">
      <c r="A63" s="116" t="s">
        <v>295</v>
      </c>
      <c r="B63" s="116">
        <f>+'conto economico va'!B70</f>
        <v>-160091</v>
      </c>
      <c r="C63" s="42"/>
      <c r="D63" s="222">
        <f>+B63/$B$14</f>
        <v>-2.6920410988988074E-2</v>
      </c>
      <c r="E63" s="162">
        <f>+'conto economico va'!E70</f>
        <v>-138822</v>
      </c>
      <c r="F63" s="42"/>
      <c r="G63" s="222">
        <f>+E63/$E$14</f>
        <v>-2.4994657068414913E-2</v>
      </c>
      <c r="H63" s="218">
        <f>+'conto economico va'!H70</f>
        <v>-124336</v>
      </c>
      <c r="I63" s="42"/>
      <c r="J63" s="163">
        <f>+H63/$H$14</f>
        <v>-2.3876157984828915E-2</v>
      </c>
    </row>
    <row r="64" spans="1:12">
      <c r="A64" s="120">
        <v>0</v>
      </c>
      <c r="B64" s="119"/>
      <c r="C64" s="42">
        <v>0</v>
      </c>
      <c r="D64"/>
      <c r="E64" s="226"/>
      <c r="F64" s="42">
        <v>0</v>
      </c>
      <c r="G64" s="221"/>
      <c r="H64" s="217"/>
      <c r="I64" s="110">
        <f>+'conto economico va'!I75</f>
        <v>0</v>
      </c>
      <c r="J64" s="8"/>
    </row>
    <row r="65" spans="1:10">
      <c r="A65" s="109"/>
      <c r="B65" s="109"/>
      <c r="C65" s="110"/>
      <c r="D65"/>
      <c r="E65" s="161"/>
      <c r="F65" s="110"/>
      <c r="G65" s="221"/>
      <c r="H65" s="217"/>
      <c r="I65" s="110"/>
      <c r="J65" s="8"/>
    </row>
    <row r="66" spans="1:10" ht="16">
      <c r="A66" s="116" t="s">
        <v>58</v>
      </c>
      <c r="B66" s="116">
        <f>+'conto economico va'!B77</f>
        <v>113621</v>
      </c>
      <c r="C66" s="42"/>
      <c r="D66" s="222">
        <f>+B66/$B$14</f>
        <v>1.9106158478489198E-2</v>
      </c>
      <c r="E66" s="162">
        <f>+'conto economico va'!E77</f>
        <v>162183</v>
      </c>
      <c r="F66" s="42"/>
      <c r="G66" s="222">
        <f>+E66/$E$14</f>
        <v>2.9200764052720287E-2</v>
      </c>
      <c r="H66" s="218">
        <f>+'conto economico va'!H77</f>
        <v>105595</v>
      </c>
      <c r="I66" s="42"/>
      <c r="J66" s="163">
        <f>+H66/$H$14</f>
        <v>2.0277336430382265E-2</v>
      </c>
    </row>
    <row r="67" spans="1:10">
      <c r="A67" s="114">
        <v>0</v>
      </c>
      <c r="B67" s="109"/>
      <c r="C67" s="110">
        <v>0</v>
      </c>
      <c r="D67"/>
      <c r="E67" s="161"/>
      <c r="F67" s="110">
        <v>0</v>
      </c>
      <c r="G67" s="221"/>
      <c r="H67" s="217"/>
      <c r="I67" s="110">
        <f>+'conto economico va'!I79</f>
        <v>267</v>
      </c>
      <c r="J67" s="8"/>
    </row>
    <row r="68" spans="1:10">
      <c r="A68" s="114">
        <v>0</v>
      </c>
      <c r="B68" s="109"/>
      <c r="C68" s="110">
        <v>0</v>
      </c>
      <c r="D68"/>
      <c r="E68" s="161"/>
      <c r="F68" s="110">
        <v>0</v>
      </c>
      <c r="G68" s="221"/>
      <c r="H68" s="217"/>
      <c r="I68" s="110">
        <f>+'conto economico va'!I82</f>
        <v>-16910</v>
      </c>
      <c r="J68" s="8"/>
    </row>
    <row r="69" spans="1:10" ht="13">
      <c r="A69" s="15" t="s">
        <v>294</v>
      </c>
      <c r="B69" s="15">
        <f>+B61+B63+B66</f>
        <v>70584</v>
      </c>
      <c r="C69" s="14"/>
      <c r="D69" s="222">
        <f>+B69/$B$14</f>
        <v>1.1869188706715146E-2</v>
      </c>
      <c r="E69" s="165">
        <f>+E61+E63+E66</f>
        <v>54153</v>
      </c>
      <c r="F69" s="14"/>
      <c r="G69" s="222">
        <f>+E69/$E$14</f>
        <v>9.7501524558490198E-3</v>
      </c>
      <c r="H69" s="219">
        <f>+H61+H63+H66</f>
        <v>147258</v>
      </c>
      <c r="I69" s="14"/>
      <c r="J69" s="9">
        <f>+H69/$H$14</f>
        <v>2.8277854141438814E-2</v>
      </c>
    </row>
    <row r="70" spans="1:10">
      <c r="A70" s="109"/>
      <c r="B70" s="109"/>
      <c r="C70" s="110"/>
      <c r="D70"/>
      <c r="E70" s="161"/>
      <c r="F70" s="110"/>
      <c r="G70" s="221"/>
      <c r="H70" s="217"/>
      <c r="I70" s="110"/>
      <c r="J70" s="8"/>
    </row>
    <row r="71" spans="1:10">
      <c r="A71" s="114">
        <v>0</v>
      </c>
      <c r="B71" s="110">
        <f>+'conto economico va'!B85</f>
        <v>-38281</v>
      </c>
      <c r="C71" s="110"/>
      <c r="D71"/>
      <c r="E71" s="166">
        <f>+'conto economico va'!E85</f>
        <v>-30177</v>
      </c>
      <c r="F71" s="110"/>
      <c r="G71" s="221"/>
      <c r="H71" s="127">
        <f>+'conto economico va'!H85</f>
        <v>-30663</v>
      </c>
      <c r="I71" s="110"/>
      <c r="J71" s="8"/>
    </row>
    <row r="72" spans="1:10">
      <c r="A72" s="114" t="s">
        <v>91</v>
      </c>
      <c r="B72" s="110">
        <f>+'conto economico va'!B86</f>
        <v>-11765</v>
      </c>
      <c r="C72" s="110"/>
      <c r="D72" s="8">
        <f>+B72/B69</f>
        <v>-0.16668083418338434</v>
      </c>
      <c r="E72" s="166">
        <f>+'conto economico va'!E86</f>
        <v>-18928</v>
      </c>
      <c r="F72" s="110"/>
      <c r="G72" s="221"/>
      <c r="H72" s="127">
        <f>+'conto economico va'!H86</f>
        <v>-21876</v>
      </c>
      <c r="I72" s="110"/>
      <c r="J72" s="8">
        <f>+H72/H69</f>
        <v>-0.14855559630037077</v>
      </c>
    </row>
    <row r="73" spans="1:10">
      <c r="A73" s="109"/>
      <c r="B73" s="109"/>
      <c r="C73" s="110"/>
      <c r="D73"/>
      <c r="E73" s="161"/>
      <c r="F73" s="110"/>
      <c r="G73" s="221"/>
      <c r="H73" s="217"/>
      <c r="I73" s="110"/>
      <c r="J73" s="8"/>
    </row>
    <row r="74" spans="1:10" ht="14" thickBot="1">
      <c r="A74" s="15" t="s">
        <v>137</v>
      </c>
      <c r="B74" s="15">
        <f>+B69+B72+B71</f>
        <v>20538</v>
      </c>
      <c r="C74" s="14"/>
      <c r="D74" s="222">
        <f>+B74/$B$14</f>
        <v>3.4536070165832999E-3</v>
      </c>
      <c r="E74" s="15">
        <f>+E69+E72+E71</f>
        <v>5048</v>
      </c>
      <c r="F74" s="43"/>
      <c r="G74" s="228">
        <f>+E74/$E$14</f>
        <v>9.0888352625202392E-4</v>
      </c>
      <c r="H74" s="15">
        <f>+H69+H72+H71</f>
        <v>94719</v>
      </c>
      <c r="I74" s="43"/>
      <c r="J74" s="168">
        <f>+H74/$H$14</f>
        <v>1.8188825506410131E-2</v>
      </c>
    </row>
    <row r="76" spans="1:10">
      <c r="A76" s="1" t="s">
        <v>182</v>
      </c>
      <c r="B76" s="1"/>
      <c r="C76" s="1"/>
      <c r="D76" s="1"/>
      <c r="E76" s="1"/>
      <c r="F76" s="1"/>
      <c r="G76" s="1"/>
    </row>
    <row r="77" spans="1:10">
      <c r="A77" s="1"/>
      <c r="B77" s="1"/>
      <c r="C77" s="45">
        <f>+(B71+B72)/B69</f>
        <v>-0.70902754165249915</v>
      </c>
      <c r="D77" s="1"/>
      <c r="E77" s="1"/>
      <c r="F77" s="1"/>
      <c r="G77" s="1"/>
    </row>
    <row r="78" spans="1:10">
      <c r="A78" s="1"/>
      <c r="B78" s="1"/>
      <c r="C78" s="1"/>
      <c r="D78" s="1"/>
      <c r="E78" s="1"/>
      <c r="F78" s="1"/>
      <c r="G78" s="1"/>
    </row>
    <row r="79" spans="1:10">
      <c r="A79" s="1"/>
      <c r="B79" s="1"/>
      <c r="C79" s="1"/>
      <c r="D79" s="1"/>
      <c r="E79" s="1"/>
      <c r="F79" s="1"/>
      <c r="G79" s="1"/>
    </row>
    <row r="80" spans="1:10">
      <c r="A80" s="28"/>
      <c r="B80" s="28"/>
      <c r="C80" s="28"/>
      <c r="D80" s="28"/>
      <c r="E80" s="28"/>
      <c r="F80" s="28"/>
      <c r="G80" s="28"/>
    </row>
  </sheetData>
  <mergeCells count="3">
    <mergeCell ref="E13:G13"/>
    <mergeCell ref="H13:J13"/>
    <mergeCell ref="B13:D13"/>
  </mergeCells>
  <phoneticPr fontId="11"/>
  <hyperlinks>
    <hyperlink ref="B3" location="'conto economico va'!C4" display="CONTO ECONOMICO A VALORE AGGIUNTO" xr:uid="{E50D4DBD-CC18-7341-874B-B31F9EEAC7C0}"/>
    <hyperlink ref="B4" location="'conto economico margine '!C4" display="CONTO ECONOMICO A MARGINE DI CONTRIBUZIONE" xr:uid="{FC746800-61F2-014A-BB82-400D27B96717}"/>
    <hyperlink ref="B6" location="'break even'!C4" display="BREAK EVEN" xr:uid="{05E61A4A-B37A-8840-B287-E6C49BB5F3AE}"/>
    <hyperlink ref="B8" location="'stato patrimoniale'!C4" display="STATO PATRIMONIALE" xr:uid="{4CC68BBF-F8F7-534D-8610-BBD05E2E5EC3}"/>
    <hyperlink ref="B9" location="'rendiconto finanziario'!A1" display="RENDICONTO FINANZIARIO" xr:uid="{9947EF98-B88E-4C43-A8AE-2C276699CC33}"/>
    <hyperlink ref="B7" location="Pareto!A1" display="PARETO" xr:uid="{C07A0277-76C2-034E-98B1-2CF4632C5D94}"/>
    <hyperlink ref="B2" location="'bilancio cee'!A1" display="BILANCIO CEE" xr:uid="{CEF0C4C8-FF81-F74F-B841-C1D06BD395EE}"/>
    <hyperlink ref="B5" location="'Conto economico RI'!A1" display="CONTO ECONOMICO RI" xr:uid="{9A85978E-D850-9444-AE4C-35A19213727D}"/>
    <hyperlink ref="E3" location="'rendiconto OIC'!A1" display="RENDICONTO OIC" xr:uid="{711BDE39-81AF-9449-BBE7-8247FEB04412}"/>
    <hyperlink ref="E4" location="'flussi di ccn'!A1" display="FLUSSI CCN" xr:uid="{9687E12C-EF53-DB46-BC0A-BB4977C6B913}"/>
    <hyperlink ref="E6" location="'albero redditività'!A1" display="ALBERO REDDITITIVITA'" xr:uid="{EF1328CC-2105-5C4E-A359-CF55377737A5}"/>
    <hyperlink ref="E7" location="indici!A1" display="INDICI" xr:uid="{1A6C3FA9-DCD3-3041-83CD-A29A309340A3}"/>
    <hyperlink ref="E8" location="'indicatori crisi'!A1" display="INDICI DI CRISI" xr:uid="{2CD4B9CB-B6E1-5948-879E-F1FCCC510D61}"/>
    <hyperlink ref="E9" location="valutazione!A1" display="VALUTAZIONE" xr:uid="{2E3AFA1B-CA7D-D74C-9957-F1F2A4AB3BE5}"/>
    <hyperlink ref="E2" location="'rendiconto di liquidità'!A1" display="RENDICONTO DI LIQUIDITA'" xr:uid="{E574BAD1-D6CB-D94E-AD0B-7C0C7D991C51}"/>
    <hyperlink ref="E5" location="'albero redditività'!A1" display="ALBERO REDDITITIVITA'" xr:uid="{F979B324-55AC-1B48-B3E8-572EA179C8B2}"/>
  </hyperlinks>
  <printOptions horizontalCentered="1" verticalCentered="1"/>
  <pageMargins left="0" right="0" top="0" bottom="0" header="0.51181102362204722" footer="0.51181102362204722"/>
  <pageSetup paperSize="0" scale="90" orientation="portrait" horizontalDpi="4294967292" verticalDpi="429496729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83"/>
  <sheetViews>
    <sheetView showGridLines="0" topLeftCell="A28" zoomScale="210" zoomScaleNormal="210" workbookViewId="0">
      <selection activeCell="A34" sqref="A34:B34"/>
    </sheetView>
  </sheetViews>
  <sheetFormatPr baseColWidth="10" defaultColWidth="11.5" defaultRowHeight="12"/>
  <cols>
    <col min="1" max="1" width="28" style="26" customWidth="1"/>
    <col min="2" max="2" width="13.5" style="26" bestFit="1" customWidth="1"/>
    <col min="3" max="3" width="10.33203125" style="26" bestFit="1" customWidth="1"/>
    <col min="4" max="4" width="6.1640625" style="26" bestFit="1" customWidth="1"/>
    <col min="5" max="5" width="13.5" style="26" bestFit="1" customWidth="1"/>
    <col min="6" max="6" width="10.33203125" style="26" bestFit="1" customWidth="1"/>
    <col min="7" max="7" width="6.1640625" style="26" bestFit="1" customWidth="1"/>
    <col min="8" max="8" width="13.5" bestFit="1" customWidth="1"/>
    <col min="9" max="9" width="10.33203125" bestFit="1" customWidth="1"/>
    <col min="10" max="10" width="6.1640625" bestFit="1" customWidth="1"/>
    <col min="11" max="11" width="11.33203125" bestFit="1" customWidth="1"/>
    <col min="12" max="16" width="10.83203125" customWidth="1"/>
  </cols>
  <sheetData>
    <row r="1" spans="1:10" ht="18">
      <c r="A1" s="454"/>
      <c r="B1" s="454"/>
      <c r="C1"/>
      <c r="D1"/>
      <c r="E1"/>
    </row>
    <row r="2" spans="1:10" ht="18">
      <c r="A2" s="454">
        <v>1</v>
      </c>
      <c r="B2" s="663" t="s">
        <v>659</v>
      </c>
      <c r="C2"/>
      <c r="D2" s="454">
        <v>9</v>
      </c>
      <c r="E2" s="663" t="s">
        <v>610</v>
      </c>
    </row>
    <row r="3" spans="1:10" ht="18">
      <c r="A3" s="454">
        <v>2</v>
      </c>
      <c r="B3" s="663" t="s">
        <v>607</v>
      </c>
      <c r="C3"/>
      <c r="D3" s="454">
        <v>10</v>
      </c>
      <c r="E3" s="663" t="s">
        <v>661</v>
      </c>
    </row>
    <row r="4" spans="1:10" ht="18">
      <c r="A4" s="454">
        <v>3</v>
      </c>
      <c r="B4" s="663" t="s">
        <v>609</v>
      </c>
      <c r="C4"/>
      <c r="D4" s="454">
        <v>11</v>
      </c>
      <c r="E4" s="663" t="s">
        <v>662</v>
      </c>
    </row>
    <row r="5" spans="1:10" ht="18">
      <c r="A5" s="454">
        <v>4</v>
      </c>
      <c r="B5" s="663" t="s">
        <v>660</v>
      </c>
      <c r="C5"/>
      <c r="D5" s="454">
        <v>12</v>
      </c>
      <c r="E5" s="663" t="s">
        <v>663</v>
      </c>
    </row>
    <row r="6" spans="1:10" ht="18">
      <c r="A6" s="454">
        <v>5</v>
      </c>
      <c r="B6" s="663" t="s">
        <v>611</v>
      </c>
      <c r="C6"/>
      <c r="D6" s="454">
        <v>13</v>
      </c>
      <c r="E6" s="663" t="s">
        <v>663</v>
      </c>
    </row>
    <row r="7" spans="1:10" ht="18">
      <c r="A7" s="454">
        <v>6</v>
      </c>
      <c r="B7" s="663" t="s">
        <v>613</v>
      </c>
      <c r="C7"/>
      <c r="D7" s="454">
        <v>14</v>
      </c>
      <c r="E7" s="663" t="s">
        <v>664</v>
      </c>
    </row>
    <row r="8" spans="1:10" ht="18">
      <c r="A8" s="454">
        <v>7</v>
      </c>
      <c r="B8" s="663" t="s">
        <v>612</v>
      </c>
      <c r="C8"/>
      <c r="D8" s="454">
        <v>15</v>
      </c>
      <c r="E8" s="663" t="s">
        <v>665</v>
      </c>
    </row>
    <row r="9" spans="1:10" ht="18">
      <c r="A9" s="454">
        <v>8</v>
      </c>
      <c r="B9" s="663" t="s">
        <v>608</v>
      </c>
      <c r="C9"/>
      <c r="D9" s="454">
        <v>16</v>
      </c>
      <c r="E9" s="663" t="s">
        <v>666</v>
      </c>
    </row>
    <row r="12" spans="1:10" ht="13" thickBot="1"/>
    <row r="13" spans="1:10" ht="19">
      <c r="A13" s="340"/>
      <c r="B13" s="762" t="s">
        <v>434</v>
      </c>
      <c r="C13" s="763"/>
      <c r="D13" s="764"/>
      <c r="E13" s="762" t="s">
        <v>435</v>
      </c>
      <c r="F13" s="763"/>
      <c r="G13" s="764"/>
      <c r="H13" s="762" t="s">
        <v>436</v>
      </c>
      <c r="I13" s="763"/>
      <c r="J13" s="764"/>
    </row>
    <row r="14" spans="1:10" ht="16">
      <c r="A14" s="341" t="s">
        <v>68</v>
      </c>
      <c r="B14" s="159">
        <f>SUM(C15:C17)</f>
        <v>5946826</v>
      </c>
      <c r="C14" s="111"/>
      <c r="D14" s="160"/>
      <c r="E14" s="159">
        <f>SUM(F15:F17)</f>
        <v>5554067</v>
      </c>
      <c r="F14" s="111"/>
      <c r="G14" s="160"/>
      <c r="H14" s="159">
        <f>SUM(I15:I17)</f>
        <v>5207538</v>
      </c>
      <c r="I14" s="111"/>
      <c r="J14" s="160"/>
    </row>
    <row r="15" spans="1:10">
      <c r="A15" s="342"/>
      <c r="B15" s="220"/>
      <c r="C15" s="111"/>
      <c r="D15" s="221"/>
      <c r="E15" s="220"/>
      <c r="F15" s="111"/>
      <c r="G15" s="221"/>
      <c r="H15" s="161"/>
      <c r="I15" s="110"/>
      <c r="J15" s="8"/>
    </row>
    <row r="16" spans="1:10">
      <c r="A16" s="342" t="str">
        <f>+'conto economico va'!A16</f>
        <v>Ricavi Netti</v>
      </c>
      <c r="B16" s="161"/>
      <c r="C16" s="109">
        <f>+'conto economico va'!C16</f>
        <v>5946826</v>
      </c>
      <c r="D16" s="221"/>
      <c r="E16" s="161"/>
      <c r="F16" s="109">
        <f>+'conto economico va'!F16</f>
        <v>5554067</v>
      </c>
      <c r="G16" s="221"/>
      <c r="H16" s="161"/>
      <c r="I16" s="109">
        <f>+'conto economico va'!I16</f>
        <v>5207538</v>
      </c>
      <c r="J16" s="8"/>
    </row>
    <row r="17" spans="1:11">
      <c r="A17" s="342"/>
      <c r="B17" s="161"/>
      <c r="C17" s="109"/>
      <c r="D17" s="221"/>
      <c r="E17" s="161"/>
      <c r="F17" s="109"/>
      <c r="G17" s="221"/>
      <c r="H17" s="161"/>
      <c r="I17" s="109"/>
      <c r="J17" s="8"/>
    </row>
    <row r="18" spans="1:11">
      <c r="A18" s="342"/>
      <c r="B18" s="161"/>
      <c r="C18" s="112"/>
      <c r="D18" s="221"/>
      <c r="E18" s="161"/>
      <c r="F18" s="112"/>
      <c r="G18" s="221"/>
      <c r="H18" s="161"/>
      <c r="I18" s="112"/>
      <c r="J18" s="8"/>
    </row>
    <row r="19" spans="1:11" ht="16">
      <c r="A19" s="343" t="s">
        <v>82</v>
      </c>
      <c r="B19" s="162">
        <f>SUM(C20:C33)</f>
        <v>5061993</v>
      </c>
      <c r="C19" s="42"/>
      <c r="D19" s="222">
        <f>+B19/$B$14</f>
        <v>0.85120919966382069</v>
      </c>
      <c r="E19" s="162">
        <f>SUM(F20:F33)</f>
        <v>4759843</v>
      </c>
      <c r="F19" s="42"/>
      <c r="G19" s="222">
        <f>+E19/$E$14</f>
        <v>0.85700136494572354</v>
      </c>
      <c r="H19" s="162">
        <f>SUM(I20:I33)</f>
        <v>4359798</v>
      </c>
      <c r="I19" s="42"/>
      <c r="J19" s="163">
        <f>+H19/$H$14</f>
        <v>0.83720906117247729</v>
      </c>
    </row>
    <row r="20" spans="1:11" ht="13">
      <c r="A20" s="344"/>
      <c r="B20" s="161"/>
      <c r="C20" s="113"/>
      <c r="D20" s="223"/>
      <c r="E20" s="161"/>
      <c r="F20" s="113"/>
      <c r="G20" s="223"/>
      <c r="H20" s="161"/>
      <c r="I20" s="113"/>
      <c r="J20" s="37"/>
      <c r="K20" s="93"/>
    </row>
    <row r="21" spans="1:11" ht="13">
      <c r="A21" s="344" t="str">
        <f>+'conto economico va'!A20</f>
        <v>Variazioni prodotti in lavorazione</v>
      </c>
      <c r="B21" s="161"/>
      <c r="C21" s="114">
        <f>+'conto economico va'!C20</f>
        <v>-32001</v>
      </c>
      <c r="D21" s="223"/>
      <c r="E21" s="161"/>
      <c r="F21" s="114">
        <f>+'conto economico va'!F20</f>
        <v>-269779</v>
      </c>
      <c r="G21" s="223"/>
      <c r="H21" s="161"/>
      <c r="I21" s="114">
        <f>+'conto economico va'!I20</f>
        <v>76819</v>
      </c>
      <c r="J21" s="37"/>
    </row>
    <row r="22" spans="1:11" ht="13">
      <c r="A22" s="344" t="str">
        <f>+'conto economico va'!A21</f>
        <v>Materie prime, sussidiarie e merci</v>
      </c>
      <c r="B22" s="161"/>
      <c r="C22" s="114">
        <f>+'conto economico va'!C21</f>
        <v>3579780</v>
      </c>
      <c r="D22" s="223"/>
      <c r="E22" s="161"/>
      <c r="F22" s="114">
        <f>+'conto economico va'!F21</f>
        <v>3589385</v>
      </c>
      <c r="G22" s="223"/>
      <c r="H22" s="161"/>
      <c r="I22" s="114">
        <f>+'conto economico va'!I21</f>
        <v>2906371</v>
      </c>
      <c r="J22" s="37"/>
    </row>
    <row r="23" spans="1:11" ht="13">
      <c r="A23" s="344" t="str">
        <f>+'conto economico va'!A22</f>
        <v xml:space="preserve">Trasporti per consegna merci </v>
      </c>
      <c r="B23" s="161"/>
      <c r="C23" s="114">
        <f>+'conto economico va'!C22</f>
        <v>135582</v>
      </c>
      <c r="D23" s="223"/>
      <c r="E23" s="161"/>
      <c r="F23" s="114">
        <f>+'conto economico va'!F22</f>
        <v>133650</v>
      </c>
      <c r="G23" s="223"/>
      <c r="H23" s="161"/>
      <c r="I23" s="114">
        <f>+'conto economico va'!I22</f>
        <v>125585</v>
      </c>
      <c r="J23" s="37"/>
    </row>
    <row r="24" spans="1:11" ht="13">
      <c r="A24" s="344" t="str">
        <f>+'conto economico va'!A23</f>
        <v>Energia elettrica</v>
      </c>
      <c r="B24" s="161"/>
      <c r="C24" s="114">
        <f>+'conto economico va'!C23</f>
        <v>133696</v>
      </c>
      <c r="D24" s="223"/>
      <c r="E24" s="161"/>
      <c r="F24" s="114">
        <f>+'conto economico va'!F23</f>
        <v>115310</v>
      </c>
      <c r="G24" s="223"/>
      <c r="H24" s="161"/>
      <c r="I24" s="114">
        <f>+'conto economico va'!I23</f>
        <v>93955</v>
      </c>
      <c r="J24" s="37"/>
    </row>
    <row r="25" spans="1:11" ht="13">
      <c r="A25" s="344" t="str">
        <f>+'conto economico va'!A24</f>
        <v>Gas e riscaldamento</v>
      </c>
      <c r="B25" s="161"/>
      <c r="C25" s="114">
        <f>+'conto economico va'!C24</f>
        <v>12923</v>
      </c>
      <c r="D25" s="223"/>
      <c r="E25" s="161"/>
      <c r="F25" s="114">
        <f>+'conto economico va'!F24</f>
        <v>13875</v>
      </c>
      <c r="G25" s="223"/>
      <c r="H25" s="161"/>
      <c r="I25" s="114">
        <f>+'conto economico va'!I24</f>
        <v>13626</v>
      </c>
      <c r="J25" s="37"/>
    </row>
    <row r="26" spans="1:11">
      <c r="A26" s="344" t="s">
        <v>228</v>
      </c>
      <c r="B26" s="161"/>
      <c r="C26" s="114">
        <f>+'conto economico va'!B53-C60-C47</f>
        <v>717425</v>
      </c>
      <c r="D26" s="224"/>
      <c r="E26" s="161"/>
      <c r="F26" s="114">
        <f>+'conto economico va'!E53-F60-F47</f>
        <v>709279</v>
      </c>
      <c r="G26" s="224"/>
      <c r="H26" s="161"/>
      <c r="I26" s="114">
        <f>+'conto economico va'!H53-I60-I47</f>
        <v>707767</v>
      </c>
      <c r="J26" s="31"/>
    </row>
    <row r="27" spans="1:11">
      <c r="A27" s="344" t="s">
        <v>262</v>
      </c>
      <c r="B27" s="161"/>
      <c r="C27" s="114">
        <f>+'conto economico va'!B63</f>
        <v>312589</v>
      </c>
      <c r="D27" s="224"/>
      <c r="E27" s="161"/>
      <c r="F27" s="114">
        <f>+'conto economico va'!E63</f>
        <v>374668</v>
      </c>
      <c r="G27" s="224"/>
      <c r="H27" s="161"/>
      <c r="I27" s="114">
        <f>+'conto economico va'!H63</f>
        <v>317744</v>
      </c>
      <c r="J27" s="31"/>
    </row>
    <row r="28" spans="1:11">
      <c r="A28" s="344" t="str">
        <f>+'conto economico va'!A28</f>
        <v>Manutenzione macchinari e impianti</v>
      </c>
      <c r="B28" s="161"/>
      <c r="C28" s="114">
        <f>+'conto economico va'!C28</f>
        <v>98642</v>
      </c>
      <c r="D28" s="224"/>
      <c r="E28" s="161"/>
      <c r="F28" s="114">
        <f>+'conto economico va'!F28</f>
        <v>66037</v>
      </c>
      <c r="G28" s="224"/>
      <c r="H28" s="161"/>
      <c r="I28" s="114">
        <f>+'conto economico va'!I28</f>
        <v>86984</v>
      </c>
      <c r="J28" s="31"/>
      <c r="K28" s="171"/>
    </row>
    <row r="29" spans="1:11">
      <c r="A29" s="344" t="str">
        <f>+'conto economico va'!A33</f>
        <v>Consulenze tecniche, spese di analisi e prove di laboratorio</v>
      </c>
      <c r="B29" s="161"/>
      <c r="C29" s="114">
        <f>+'conto economico va'!C33</f>
        <v>27708</v>
      </c>
      <c r="D29" s="224"/>
      <c r="E29" s="161"/>
      <c r="F29" s="114">
        <f>+'conto economico va'!F33</f>
        <v>25021</v>
      </c>
      <c r="G29" s="224"/>
      <c r="H29" s="161"/>
      <c r="I29" s="114">
        <f>+'conto economico va'!I33</f>
        <v>30127</v>
      </c>
      <c r="J29" s="31"/>
    </row>
    <row r="30" spans="1:11">
      <c r="A30" s="344" t="str">
        <f>+'conto economico va'!A38</f>
        <v>Servizio agenzie lavoro interinale</v>
      </c>
      <c r="B30" s="161"/>
      <c r="C30" s="114">
        <f>+'conto economico va'!C38</f>
        <v>29327</v>
      </c>
      <c r="D30" s="224"/>
      <c r="E30" s="161"/>
      <c r="F30" s="114">
        <f>+'conto economico va'!F38</f>
        <v>29304</v>
      </c>
      <c r="G30" s="224"/>
      <c r="H30" s="161"/>
      <c r="I30" s="114">
        <f>+'conto economico va'!I38</f>
        <v>29448</v>
      </c>
      <c r="J30" s="31"/>
    </row>
    <row r="31" spans="1:11">
      <c r="A31" s="344" t="str">
        <f>+'conto economico va'!A46</f>
        <v>Altre spese di produzione e spese varie</v>
      </c>
      <c r="B31" s="161"/>
      <c r="C31" s="114">
        <f>+'conto economico va'!C46</f>
        <v>29920</v>
      </c>
      <c r="D31" s="224"/>
      <c r="E31" s="161"/>
      <c r="F31" s="114">
        <f>+'conto economico va'!F46</f>
        <v>17162</v>
      </c>
      <c r="G31" s="224"/>
      <c r="H31" s="161"/>
      <c r="I31" s="114">
        <f>+'conto economico va'!I46</f>
        <v>11763</v>
      </c>
      <c r="J31" s="31"/>
    </row>
    <row r="32" spans="1:11" ht="13">
      <c r="A32" s="344" t="str">
        <f>+'conto economico va'!A49</f>
        <v>Variazione rimanenze materie prime</v>
      </c>
      <c r="B32" s="161"/>
      <c r="C32" s="114">
        <f>+'conto economico va'!C49</f>
        <v>16402</v>
      </c>
      <c r="D32" s="223"/>
      <c r="E32" s="161"/>
      <c r="F32" s="114">
        <f>+'conto economico va'!F49</f>
        <v>-44069</v>
      </c>
      <c r="G32" s="223"/>
      <c r="H32" s="161"/>
      <c r="I32" s="114">
        <f>+'conto economico va'!I49</f>
        <v>-40391</v>
      </c>
      <c r="J32" s="37"/>
    </row>
    <row r="33" spans="1:10" ht="13">
      <c r="A33" s="342"/>
      <c r="B33" s="161"/>
      <c r="C33" s="113"/>
      <c r="D33" s="221"/>
      <c r="E33" s="161"/>
      <c r="F33" s="113"/>
      <c r="G33" s="221"/>
      <c r="H33" s="161"/>
      <c r="I33" s="113"/>
      <c r="J33" s="8"/>
    </row>
    <row r="34" spans="1:10" ht="13">
      <c r="A34" s="345" t="s">
        <v>87</v>
      </c>
      <c r="B34" s="165">
        <f>+B14-B19</f>
        <v>884833</v>
      </c>
      <c r="C34" s="113"/>
      <c r="D34" s="222">
        <f>+B34/$B$14</f>
        <v>0.14879080033617934</v>
      </c>
      <c r="E34" s="165">
        <f>+E14-E19</f>
        <v>794224</v>
      </c>
      <c r="F34" s="117"/>
      <c r="G34" s="222">
        <f>+E34/$E$14</f>
        <v>0.14299863505427643</v>
      </c>
      <c r="H34" s="165">
        <f>+H14-H19</f>
        <v>847740</v>
      </c>
      <c r="I34" s="117"/>
      <c r="J34" s="9">
        <f>+H34/$H$14</f>
        <v>0.16279093882752271</v>
      </c>
    </row>
    <row r="35" spans="1:10" ht="13">
      <c r="A35" s="346"/>
      <c r="B35" s="166"/>
      <c r="C35" s="113"/>
      <c r="D35" s="221"/>
      <c r="E35" s="166"/>
      <c r="F35" s="110"/>
      <c r="G35" s="221"/>
      <c r="H35" s="166"/>
      <c r="I35" s="110"/>
      <c r="J35" s="8"/>
    </row>
    <row r="36" spans="1:10" ht="16">
      <c r="A36" s="343" t="s">
        <v>88</v>
      </c>
      <c r="B36" s="162">
        <f>SUM(C37:C60)</f>
        <v>767779</v>
      </c>
      <c r="C36" s="42"/>
      <c r="D36" s="222">
        <f>+B36/$B$14</f>
        <v>0.12910735911896531</v>
      </c>
      <c r="E36" s="162">
        <f>SUM(F37:F60)</f>
        <v>763432</v>
      </c>
      <c r="F36" s="42"/>
      <c r="G36" s="225">
        <f>+E36/$E$14</f>
        <v>0.13745458958273279</v>
      </c>
      <c r="H36" s="162">
        <f>SUM(I37:I60)</f>
        <v>681741</v>
      </c>
      <c r="I36" s="42"/>
      <c r="J36" s="163">
        <f>+H36/$H$14</f>
        <v>0.13091426313163726</v>
      </c>
    </row>
    <row r="37" spans="1:10" ht="13">
      <c r="A37" s="344" t="str">
        <f>+'conto economico va'!A25</f>
        <v>Spese telefoniche e postali</v>
      </c>
      <c r="B37" s="161"/>
      <c r="C37" s="114">
        <f>+'conto economico va'!C25</f>
        <v>11596</v>
      </c>
      <c r="D37" s="223"/>
      <c r="E37" s="161"/>
      <c r="F37" s="114">
        <f>+'conto economico va'!F25</f>
        <v>14189</v>
      </c>
      <c r="G37" s="223"/>
      <c r="H37" s="161"/>
      <c r="I37" s="114">
        <f>+'conto economico va'!I25</f>
        <v>15271</v>
      </c>
      <c r="J37" s="37"/>
    </row>
    <row r="38" spans="1:10" ht="13">
      <c r="A38" s="344" t="str">
        <f>+'conto economico va'!A26</f>
        <v>Rimborsi chilometrici</v>
      </c>
      <c r="B38" s="161"/>
      <c r="C38" s="114">
        <f>+'conto economico va'!C26</f>
        <v>9776</v>
      </c>
      <c r="D38" s="223"/>
      <c r="E38" s="161"/>
      <c r="F38" s="114">
        <f>+'conto economico va'!F26</f>
        <v>9051</v>
      </c>
      <c r="G38" s="223"/>
      <c r="H38" s="161"/>
      <c r="I38" s="114">
        <f>+'conto economico va'!I26</f>
        <v>9139</v>
      </c>
      <c r="J38" s="37"/>
    </row>
    <row r="39" spans="1:10" ht="13">
      <c r="A39" s="344" t="str">
        <f>+'conto economico va'!A27</f>
        <v>Viaggi</v>
      </c>
      <c r="B39" s="161"/>
      <c r="C39" s="114">
        <f>+'conto economico va'!C27</f>
        <v>0</v>
      </c>
      <c r="D39" s="223"/>
      <c r="E39" s="161"/>
      <c r="F39" s="114">
        <f>+'conto economico va'!F27</f>
        <v>502</v>
      </c>
      <c r="G39" s="223"/>
      <c r="H39" s="161"/>
      <c r="I39" s="114">
        <f>+'conto economico va'!I27</f>
        <v>0</v>
      </c>
      <c r="J39" s="37"/>
    </row>
    <row r="40" spans="1:10" ht="13">
      <c r="A40" s="344" t="str">
        <f>+'conto economico va'!A35</f>
        <v>Servizi commerciali</v>
      </c>
      <c r="B40" s="161"/>
      <c r="C40" s="114">
        <f>+'conto economico va'!C35</f>
        <v>123618</v>
      </c>
      <c r="D40" s="223"/>
      <c r="E40" s="161"/>
      <c r="F40" s="114">
        <f>+'conto economico va'!F35</f>
        <v>115432</v>
      </c>
      <c r="G40" s="223"/>
      <c r="H40" s="161"/>
      <c r="I40" s="114">
        <f>+'conto economico va'!I35</f>
        <v>114917</v>
      </c>
      <c r="J40" s="37"/>
    </row>
    <row r="41" spans="1:10" ht="13">
      <c r="A41" s="344" t="str">
        <f>+'conto economico va'!A36</f>
        <v>Provvigioni a intermediari</v>
      </c>
      <c r="B41" s="161"/>
      <c r="C41" s="114">
        <f>+'conto economico va'!C36</f>
        <v>253624</v>
      </c>
      <c r="D41" s="223"/>
      <c r="E41" s="161"/>
      <c r="F41" s="114">
        <f>+'conto economico va'!F36</f>
        <v>255157</v>
      </c>
      <c r="G41" s="223"/>
      <c r="H41" s="161"/>
      <c r="I41" s="114">
        <f>+'conto economico va'!I36</f>
        <v>207862</v>
      </c>
      <c r="J41" s="37"/>
    </row>
    <row r="42" spans="1:10" ht="13">
      <c r="A42" s="344" t="str">
        <f>+'conto economico va'!A37</f>
        <v>Indennità agenti scioglimento rapporto</v>
      </c>
      <c r="B42" s="161"/>
      <c r="C42" s="114">
        <f>+'conto economico va'!C37</f>
        <v>2408</v>
      </c>
      <c r="D42" s="223"/>
      <c r="E42" s="161"/>
      <c r="F42" s="114">
        <f>+'conto economico va'!F37</f>
        <v>2701</v>
      </c>
      <c r="G42" s="223"/>
      <c r="H42" s="161"/>
      <c r="I42" s="114">
        <f>+'conto economico va'!I37</f>
        <v>7208</v>
      </c>
      <c r="J42" s="37"/>
    </row>
    <row r="43" spans="1:10" ht="13">
      <c r="A43" s="344" t="str">
        <f>+'conto economico va'!A39</f>
        <v>Consulenze commerciali</v>
      </c>
      <c r="B43" s="161"/>
      <c r="C43" s="114">
        <f>+'conto economico va'!C39</f>
        <v>0</v>
      </c>
      <c r="D43" s="223"/>
      <c r="E43" s="161"/>
      <c r="F43" s="114">
        <f>+'conto economico va'!F39</f>
        <v>7205</v>
      </c>
      <c r="G43" s="223"/>
      <c r="H43" s="161"/>
      <c r="I43" s="114">
        <f>+'conto economico va'!I39</f>
        <v>7492</v>
      </c>
      <c r="J43" s="37"/>
    </row>
    <row r="44" spans="1:10">
      <c r="A44" s="344" t="str">
        <f>+'conto economico va'!A40</f>
        <v>Pubblicità</v>
      </c>
      <c r="B44" s="161"/>
      <c r="C44" s="114">
        <f>+'conto economico va'!C40</f>
        <v>25542</v>
      </c>
      <c r="D44" s="224"/>
      <c r="E44" s="161"/>
      <c r="F44" s="114">
        <f>+'conto economico va'!F40</f>
        <v>24134</v>
      </c>
      <c r="G44" s="224"/>
      <c r="H44" s="161"/>
      <c r="I44" s="114">
        <f>+'conto economico va'!I40</f>
        <v>30525</v>
      </c>
      <c r="J44" s="31"/>
    </row>
    <row r="45" spans="1:10">
      <c r="A45" s="344" t="str">
        <f>+'conto economico va'!A41</f>
        <v>Mostre e fiere</v>
      </c>
      <c r="B45" s="161"/>
      <c r="C45" s="114">
        <f>+'conto economico va'!C41</f>
        <v>47156</v>
      </c>
      <c r="D45" s="224"/>
      <c r="E45" s="161"/>
      <c r="F45" s="114">
        <f>+'conto economico va'!F41</f>
        <v>61196</v>
      </c>
      <c r="G45" s="224"/>
      <c r="H45" s="161"/>
      <c r="I45" s="114">
        <f>+'conto economico va'!I41</f>
        <v>44791</v>
      </c>
      <c r="J45" s="31"/>
    </row>
    <row r="46" spans="1:10">
      <c r="A46" s="344" t="str">
        <f>+'conto economico va'!A42</f>
        <v>Spese di rappresentanza e promozionali</v>
      </c>
      <c r="B46" s="161"/>
      <c r="C46" s="114">
        <f>+'conto economico va'!C42</f>
        <v>10812</v>
      </c>
      <c r="D46" s="224"/>
      <c r="E46" s="161"/>
      <c r="F46" s="114">
        <f>+'conto economico va'!F42</f>
        <v>13542</v>
      </c>
      <c r="G46" s="224"/>
      <c r="H46" s="161"/>
      <c r="I46" s="114">
        <f>+'conto economico va'!I42</f>
        <v>16255</v>
      </c>
      <c r="J46" s="31"/>
    </row>
    <row r="47" spans="1:10">
      <c r="A47" s="344" t="s">
        <v>85</v>
      </c>
      <c r="B47" s="161"/>
      <c r="C47" s="114">
        <f>+'conto economico va'!C57</f>
        <v>4644</v>
      </c>
      <c r="D47" s="224"/>
      <c r="E47" s="161"/>
      <c r="F47" s="114">
        <f>+'conto economico va'!F57</f>
        <v>4224</v>
      </c>
      <c r="G47" s="224"/>
      <c r="H47" s="161"/>
      <c r="I47" s="114">
        <f>+'conto economico va'!I57</f>
        <v>4036</v>
      </c>
      <c r="J47" s="31"/>
    </row>
    <row r="48" spans="1:10" ht="13">
      <c r="A48" s="345" t="s">
        <v>83</v>
      </c>
      <c r="B48" s="165">
        <f>SUM(C37:C47)</f>
        <v>489176</v>
      </c>
      <c r="C48" s="114"/>
      <c r="D48" s="349">
        <f>+B48/B$14</f>
        <v>8.2258334109657827E-2</v>
      </c>
      <c r="E48" s="165">
        <f>SUM(F37:F47)</f>
        <v>507333</v>
      </c>
      <c r="F48" s="114"/>
      <c r="G48" s="349">
        <f>+E48/E$14</f>
        <v>9.1344414822507547E-2</v>
      </c>
      <c r="H48" s="165">
        <f>SUM(I37:I47)</f>
        <v>457496</v>
      </c>
      <c r="I48" s="114"/>
      <c r="J48" s="349">
        <f>+H48/H$14</f>
        <v>8.7852647450676308E-2</v>
      </c>
    </row>
    <row r="49" spans="1:10" ht="13">
      <c r="A49" s="344" t="str">
        <f>+'conto economico va'!A50</f>
        <v>Oneri diversi di gestione</v>
      </c>
      <c r="B49" s="161"/>
      <c r="C49" s="114">
        <f>+'conto economico va'!C50</f>
        <v>44147</v>
      </c>
      <c r="D49" s="223"/>
      <c r="E49" s="161"/>
      <c r="F49" s="114">
        <f>+'conto economico va'!F50</f>
        <v>39658</v>
      </c>
      <c r="G49" s="223"/>
      <c r="H49" s="161"/>
      <c r="I49" s="114">
        <f>+'conto economico va'!I50</f>
        <v>37654</v>
      </c>
      <c r="J49" s="37"/>
    </row>
    <row r="50" spans="1:10">
      <c r="A50" s="344" t="str">
        <f>+'conto economico va'!A29</f>
        <v>Canoni di manutenzione macchine d’ufficio</v>
      </c>
      <c r="B50" s="161"/>
      <c r="C50" s="114">
        <f>+'conto economico va'!C29</f>
        <v>2977</v>
      </c>
      <c r="D50" s="224"/>
      <c r="E50" s="161"/>
      <c r="F50" s="114">
        <f>+'conto economico va'!F29</f>
        <v>4100</v>
      </c>
      <c r="G50" s="224"/>
      <c r="H50" s="161"/>
      <c r="I50" s="114">
        <f>+'conto economico va'!I29</f>
        <v>4317</v>
      </c>
      <c r="J50" s="31"/>
    </row>
    <row r="51" spans="1:10">
      <c r="A51" s="344" t="str">
        <f>+'conto economico va'!A30</f>
        <v>Consulenze amministrative</v>
      </c>
      <c r="B51" s="161"/>
      <c r="C51" s="114">
        <f>+'conto economico va'!C30</f>
        <v>28182</v>
      </c>
      <c r="D51" s="224"/>
      <c r="E51" s="161"/>
      <c r="F51" s="114">
        <f>+'conto economico va'!F30</f>
        <v>29000</v>
      </c>
      <c r="G51" s="224"/>
      <c r="H51" s="161"/>
      <c r="I51" s="114">
        <f>+'conto economico va'!I30</f>
        <v>28441</v>
      </c>
      <c r="J51" s="31"/>
    </row>
    <row r="52" spans="1:10">
      <c r="A52" s="344" t="str">
        <f>+'conto economico va'!A31</f>
        <v>Compensi ai sindaci</v>
      </c>
      <c r="B52" s="161"/>
      <c r="C52" s="114">
        <f>+'conto economico va'!C31</f>
        <v>23504</v>
      </c>
      <c r="D52" s="224"/>
      <c r="E52" s="161"/>
      <c r="F52" s="114">
        <f>+'conto economico va'!F31</f>
        <v>23498</v>
      </c>
      <c r="G52" s="224"/>
      <c r="H52" s="161"/>
      <c r="I52" s="114">
        <f>+'conto economico va'!I31</f>
        <v>17738</v>
      </c>
      <c r="J52" s="31"/>
    </row>
    <row r="53" spans="1:10">
      <c r="A53" s="344" t="str">
        <f>+'conto economico va'!A32</f>
        <v>Ricerca, addestramento e formazione</v>
      </c>
      <c r="B53" s="161"/>
      <c r="C53" s="114">
        <f>+'conto economico va'!C32</f>
        <v>1515</v>
      </c>
      <c r="D53" s="224"/>
      <c r="E53" s="161"/>
      <c r="F53" s="114">
        <f>+'conto economico va'!F32</f>
        <v>0</v>
      </c>
      <c r="G53" s="224"/>
      <c r="H53" s="161"/>
      <c r="I53" s="114">
        <f>+'conto economico va'!I32</f>
        <v>835</v>
      </c>
      <c r="J53" s="31"/>
    </row>
    <row r="54" spans="1:10">
      <c r="A54" s="344" t="str">
        <f>+'conto economico va'!A34</f>
        <v>Pulizia esterna</v>
      </c>
      <c r="B54" s="161"/>
      <c r="C54" s="114">
        <f>+'conto economico va'!C34</f>
        <v>17349</v>
      </c>
      <c r="D54" s="224"/>
      <c r="E54" s="161"/>
      <c r="F54" s="114">
        <f>+'conto economico va'!F34</f>
        <v>17121</v>
      </c>
      <c r="G54" s="224"/>
      <c r="H54" s="161"/>
      <c r="I54" s="114">
        <f>+'conto economico va'!I34</f>
        <v>16743</v>
      </c>
      <c r="J54" s="31"/>
    </row>
    <row r="55" spans="1:10">
      <c r="A55" s="344" t="str">
        <f>+'conto economico va'!A43</f>
        <v xml:space="preserve">Assicurazioni diverse                                     </v>
      </c>
      <c r="B55" s="161"/>
      <c r="C55" s="114">
        <f>+'conto economico va'!C43</f>
        <v>15714</v>
      </c>
      <c r="D55" s="224"/>
      <c r="E55" s="161"/>
      <c r="F55" s="114">
        <f>+'conto economico va'!F43</f>
        <v>15326</v>
      </c>
      <c r="G55" s="224"/>
      <c r="H55" s="161"/>
      <c r="I55" s="114">
        <f>+'conto economico va'!I43</f>
        <v>15982</v>
      </c>
      <c r="J55" s="31"/>
    </row>
    <row r="56" spans="1:10">
      <c r="A56" s="344" t="str">
        <f>+'conto economico va'!A44</f>
        <v xml:space="preserve">Assicurazione automezzi                                               </v>
      </c>
      <c r="B56" s="161"/>
      <c r="C56" s="114">
        <f>+'conto economico va'!C44</f>
        <v>2432</v>
      </c>
      <c r="D56" s="224"/>
      <c r="E56" s="161"/>
      <c r="F56" s="114">
        <f>+'conto economico va'!F44</f>
        <v>2233</v>
      </c>
      <c r="G56" s="224"/>
      <c r="H56" s="161"/>
      <c r="I56" s="114">
        <f>+'conto economico va'!I44</f>
        <v>2372</v>
      </c>
      <c r="J56" s="31"/>
    </row>
    <row r="57" spans="1:10">
      <c r="A57" s="344" t="str">
        <f>+'conto economico va'!A45</f>
        <v>Associazioni e pubblicazioni</v>
      </c>
      <c r="B57" s="161"/>
      <c r="C57" s="114">
        <f>+'conto economico va'!C45</f>
        <v>5579</v>
      </c>
      <c r="D57" s="224"/>
      <c r="E57" s="161"/>
      <c r="F57" s="114">
        <f>+'conto economico va'!F45</f>
        <v>9734</v>
      </c>
      <c r="G57" s="224"/>
      <c r="H57" s="161"/>
      <c r="I57" s="114">
        <f>+'conto economico va'!I45</f>
        <v>5510</v>
      </c>
      <c r="J57" s="31"/>
    </row>
    <row r="58" spans="1:10">
      <c r="A58" s="344" t="str">
        <f>+'conto economico va'!A47</f>
        <v>Godimento di beni di terzi</v>
      </c>
      <c r="B58" s="161"/>
      <c r="C58" s="114">
        <f>+'conto economico va'!C47</f>
        <v>17396</v>
      </c>
      <c r="D58" s="224"/>
      <c r="E58" s="161"/>
      <c r="F58" s="114">
        <f>+'conto economico va'!F47</f>
        <v>17113</v>
      </c>
      <c r="G58" s="224"/>
      <c r="H58" s="161"/>
      <c r="I58" s="114">
        <f>+'conto economico va'!I47</f>
        <v>16110</v>
      </c>
      <c r="J58" s="31"/>
    </row>
    <row r="59" spans="1:10">
      <c r="A59" s="344" t="str">
        <f>+'conto economico va'!A48</f>
        <v>Altri costi</v>
      </c>
      <c r="B59" s="161"/>
      <c r="C59" s="114">
        <f>+'conto economico va'!C48</f>
        <v>2148</v>
      </c>
      <c r="D59" s="224"/>
      <c r="E59" s="161"/>
      <c r="F59" s="114">
        <f>+'conto economico va'!F48</f>
        <v>2004</v>
      </c>
      <c r="G59" s="224"/>
      <c r="H59" s="161"/>
      <c r="I59" s="114">
        <f>+'conto economico va'!I48</f>
        <v>170</v>
      </c>
      <c r="J59" s="31"/>
    </row>
    <row r="60" spans="1:10">
      <c r="A60" s="344" t="s">
        <v>84</v>
      </c>
      <c r="B60" s="161"/>
      <c r="C60" s="114">
        <f>+'conto economico va'!C58+'conto economico va'!C59</f>
        <v>117660</v>
      </c>
      <c r="D60" s="224"/>
      <c r="E60" s="161"/>
      <c r="F60" s="114">
        <f>+'conto economico va'!F58+'conto economico va'!F59</f>
        <v>96312</v>
      </c>
      <c r="G60" s="224"/>
      <c r="H60" s="161"/>
      <c r="I60" s="114">
        <f>+'conto economico va'!I58+'conto economico va'!I59</f>
        <v>78373</v>
      </c>
      <c r="J60" s="31"/>
    </row>
    <row r="61" spans="1:10" ht="13">
      <c r="A61" s="345" t="s">
        <v>86</v>
      </c>
      <c r="B61" s="165">
        <f>SUM(C49:C60)</f>
        <v>278603</v>
      </c>
      <c r="C61" s="114"/>
      <c r="D61" s="349">
        <f>+B61/B$14</f>
        <v>4.6849025009307488E-2</v>
      </c>
      <c r="E61" s="165">
        <f>SUM(F49:F60)</f>
        <v>256099</v>
      </c>
      <c r="F61" s="114"/>
      <c r="G61" s="349">
        <f>+E61/E$14</f>
        <v>4.6110174760225255E-2</v>
      </c>
      <c r="H61" s="165">
        <f>SUM(I49:I60)</f>
        <v>224245</v>
      </c>
      <c r="I61" s="114"/>
      <c r="J61" s="349">
        <f>+H61/H$14</f>
        <v>4.3061615680960945E-2</v>
      </c>
    </row>
    <row r="62" spans="1:10" s="171" customFormat="1">
      <c r="A62" s="347"/>
      <c r="B62" s="336"/>
      <c r="C62" s="335"/>
      <c r="D62" s="337"/>
      <c r="E62" s="336"/>
      <c r="F62" s="335"/>
      <c r="G62" s="337"/>
      <c r="H62" s="350"/>
      <c r="I62" s="338"/>
      <c r="J62" s="339"/>
    </row>
    <row r="63" spans="1:10">
      <c r="A63" s="342"/>
      <c r="B63" s="161"/>
      <c r="C63" s="110"/>
      <c r="D63" s="221"/>
      <c r="E63" s="161"/>
      <c r="F63" s="110"/>
      <c r="G63" s="221"/>
      <c r="H63" s="161"/>
      <c r="I63" s="110"/>
      <c r="J63" s="8"/>
    </row>
    <row r="64" spans="1:10" ht="13">
      <c r="A64" s="345" t="s">
        <v>59</v>
      </c>
      <c r="B64" s="165">
        <f>+B34-B36</f>
        <v>117054</v>
      </c>
      <c r="C64" s="14"/>
      <c r="D64" s="222">
        <f>+B64/$B$14</f>
        <v>1.9683441217214024E-2</v>
      </c>
      <c r="E64" s="165">
        <f>+E34-E36</f>
        <v>30792</v>
      </c>
      <c r="F64" s="14"/>
      <c r="G64" s="222">
        <f>+E64/$E$14</f>
        <v>5.5440454715436453E-3</v>
      </c>
      <c r="H64" s="165">
        <f>+H34-H36</f>
        <v>165999</v>
      </c>
      <c r="I64" s="14"/>
      <c r="J64" s="9">
        <f>+H64/$H$14</f>
        <v>3.1876675695885467E-2</v>
      </c>
    </row>
    <row r="65" spans="1:10">
      <c r="A65" s="342"/>
      <c r="B65" s="161"/>
      <c r="C65" s="110"/>
      <c r="D65" s="221"/>
      <c r="E65" s="161"/>
      <c r="F65" s="110"/>
      <c r="G65" s="221"/>
      <c r="H65" s="161"/>
      <c r="I65" s="110"/>
      <c r="J65" s="8"/>
    </row>
    <row r="66" spans="1:10" ht="16">
      <c r="A66" s="343" t="s">
        <v>295</v>
      </c>
      <c r="B66" s="162">
        <f>+'conto economico va'!B70</f>
        <v>-160091</v>
      </c>
      <c r="C66" s="42"/>
      <c r="D66" s="222">
        <f>+B66/$B$14</f>
        <v>-2.6920410988988074E-2</v>
      </c>
      <c r="E66" s="162">
        <f>+'conto economico va'!E70</f>
        <v>-138822</v>
      </c>
      <c r="F66" s="42"/>
      <c r="G66" s="222">
        <f>+E66/$E$14</f>
        <v>-2.4994657068414913E-2</v>
      </c>
      <c r="H66" s="162">
        <f>+'conto economico va'!H70</f>
        <v>-124336</v>
      </c>
      <c r="I66" s="42"/>
      <c r="J66" s="163">
        <f>+H66/$H$14</f>
        <v>-2.3876157984828915E-2</v>
      </c>
    </row>
    <row r="67" spans="1:10">
      <c r="A67" s="348">
        <v>0</v>
      </c>
      <c r="B67" s="226"/>
      <c r="C67" s="42">
        <v>0</v>
      </c>
      <c r="D67" s="221"/>
      <c r="E67" s="226"/>
      <c r="F67" s="42">
        <v>0</v>
      </c>
      <c r="G67" s="221"/>
      <c r="H67" s="161"/>
      <c r="I67" s="110">
        <f>+'conto economico va'!I75</f>
        <v>0</v>
      </c>
      <c r="J67" s="8"/>
    </row>
    <row r="68" spans="1:10">
      <c r="A68" s="342"/>
      <c r="B68" s="161"/>
      <c r="C68" s="110"/>
      <c r="D68" s="221"/>
      <c r="E68" s="161"/>
      <c r="F68" s="110"/>
      <c r="G68" s="221"/>
      <c r="H68" s="161"/>
      <c r="I68" s="110"/>
      <c r="J68" s="8"/>
    </row>
    <row r="69" spans="1:10" ht="16">
      <c r="A69" s="343" t="s">
        <v>58</v>
      </c>
      <c r="B69" s="162">
        <f>+'conto economico va'!B77</f>
        <v>113621</v>
      </c>
      <c r="C69" s="42"/>
      <c r="D69" s="222">
        <f>+B69/$B$14</f>
        <v>1.9106158478489198E-2</v>
      </c>
      <c r="E69" s="162">
        <f>+'conto economico va'!E77</f>
        <v>162183</v>
      </c>
      <c r="F69" s="42"/>
      <c r="G69" s="222">
        <f>+E69/$E$14</f>
        <v>2.9200764052720287E-2</v>
      </c>
      <c r="H69" s="162">
        <f>+'conto economico va'!H77</f>
        <v>105595</v>
      </c>
      <c r="I69" s="42"/>
      <c r="J69" s="163">
        <f>+H69/$H$14</f>
        <v>2.0277336430382265E-2</v>
      </c>
    </row>
    <row r="70" spans="1:10">
      <c r="A70" s="344">
        <v>0</v>
      </c>
      <c r="B70" s="161"/>
      <c r="C70" s="110">
        <v>0</v>
      </c>
      <c r="D70" s="221"/>
      <c r="E70" s="161"/>
      <c r="F70" s="110">
        <v>0</v>
      </c>
      <c r="G70" s="221"/>
      <c r="H70" s="161"/>
      <c r="I70" s="110">
        <f>+'conto economico va'!I79</f>
        <v>267</v>
      </c>
      <c r="J70" s="8"/>
    </row>
    <row r="71" spans="1:10">
      <c r="A71" s="344">
        <v>0</v>
      </c>
      <c r="B71" s="161"/>
      <c r="C71" s="110">
        <v>0</v>
      </c>
      <c r="D71" s="221"/>
      <c r="E71" s="161"/>
      <c r="F71" s="110">
        <v>0</v>
      </c>
      <c r="G71" s="221"/>
      <c r="H71" s="161"/>
      <c r="I71" s="110">
        <f>+'conto economico va'!I82</f>
        <v>-16910</v>
      </c>
      <c r="J71" s="8"/>
    </row>
    <row r="72" spans="1:10" ht="13">
      <c r="A72" s="345" t="s">
        <v>294</v>
      </c>
      <c r="B72" s="165">
        <f>+B64+B66+B69</f>
        <v>70584</v>
      </c>
      <c r="C72" s="14"/>
      <c r="D72" s="222">
        <f>+B72/$B$14</f>
        <v>1.1869188706715146E-2</v>
      </c>
      <c r="E72" s="165">
        <f>+E64+E66+E69</f>
        <v>54153</v>
      </c>
      <c r="F72" s="14"/>
      <c r="G72" s="222">
        <f>+E72/$E$14</f>
        <v>9.7501524558490198E-3</v>
      </c>
      <c r="H72" s="165">
        <f>+H64+H66+H69</f>
        <v>147258</v>
      </c>
      <c r="I72" s="14"/>
      <c r="J72" s="9">
        <f>+H72/$H$14</f>
        <v>2.8277854141438814E-2</v>
      </c>
    </row>
    <row r="73" spans="1:10">
      <c r="A73" s="342"/>
      <c r="B73" s="161"/>
      <c r="C73" s="110"/>
      <c r="D73" s="221"/>
      <c r="E73" s="161"/>
      <c r="F73" s="110"/>
      <c r="G73" s="221"/>
      <c r="H73" s="161"/>
      <c r="I73" s="110"/>
      <c r="J73" s="8"/>
    </row>
    <row r="74" spans="1:10">
      <c r="A74" s="344">
        <v>0</v>
      </c>
      <c r="B74" s="166">
        <f>+'conto economico va'!B85</f>
        <v>-38281</v>
      </c>
      <c r="C74" s="110"/>
      <c r="D74" s="221"/>
      <c r="E74" s="166">
        <f>+'conto economico va'!E85</f>
        <v>-30177</v>
      </c>
      <c r="F74" s="110"/>
      <c r="G74" s="221"/>
      <c r="H74" s="166">
        <f>+'conto economico va'!H85</f>
        <v>-30663</v>
      </c>
      <c r="I74" s="110"/>
      <c r="J74" s="8"/>
    </row>
    <row r="75" spans="1:10">
      <c r="A75" s="344" t="s">
        <v>91</v>
      </c>
      <c r="B75" s="166">
        <f>+'conto economico va'!B86</f>
        <v>-11765</v>
      </c>
      <c r="C75" s="110"/>
      <c r="D75" s="8"/>
      <c r="E75" s="166">
        <f>+'conto economico va'!E86</f>
        <v>-18928</v>
      </c>
      <c r="F75" s="110"/>
      <c r="G75" s="221"/>
      <c r="H75" s="166">
        <f>+'conto economico va'!H86</f>
        <v>-21876</v>
      </c>
      <c r="I75" s="110"/>
      <c r="J75" s="8"/>
    </row>
    <row r="76" spans="1:10">
      <c r="A76" s="342"/>
      <c r="B76" s="161"/>
      <c r="C76" s="110"/>
      <c r="D76" s="221"/>
      <c r="E76" s="161"/>
      <c r="F76" s="110"/>
      <c r="G76" s="221"/>
      <c r="H76" s="161"/>
      <c r="I76" s="110"/>
      <c r="J76" s="8"/>
    </row>
    <row r="77" spans="1:10" ht="14" thickBot="1">
      <c r="A77" s="345" t="s">
        <v>137</v>
      </c>
      <c r="B77" s="167">
        <f>+B72+B75+B74</f>
        <v>20538</v>
      </c>
      <c r="C77" s="43"/>
      <c r="D77" s="228">
        <f>+B77/$B$14</f>
        <v>3.4536070165832999E-3</v>
      </c>
      <c r="E77" s="167">
        <f>+E72+E75+E74</f>
        <v>5048</v>
      </c>
      <c r="F77" s="43"/>
      <c r="G77" s="228">
        <f>+E77/$E$14</f>
        <v>9.0888352625202392E-4</v>
      </c>
      <c r="H77" s="167">
        <f>+H72+H75+H74</f>
        <v>94719</v>
      </c>
      <c r="I77" s="43"/>
      <c r="J77" s="168">
        <f>+H77/$H$14</f>
        <v>1.8188825506410131E-2</v>
      </c>
    </row>
    <row r="79" spans="1:10">
      <c r="A79" s="1" t="s">
        <v>182</v>
      </c>
      <c r="B79" s="1"/>
      <c r="C79" s="1"/>
      <c r="D79" s="1"/>
      <c r="E79" s="1"/>
      <c r="F79" s="1"/>
      <c r="G79" s="1"/>
    </row>
    <row r="80" spans="1:10">
      <c r="A80" s="1"/>
      <c r="B80" s="1"/>
      <c r="C80" s="1"/>
      <c r="D80" s="1"/>
      <c r="E80" s="1"/>
      <c r="F80" s="1"/>
      <c r="G80" s="1"/>
    </row>
    <row r="81" spans="1:7">
      <c r="A81" s="1"/>
      <c r="B81" s="1"/>
      <c r="C81" s="1"/>
      <c r="D81" s="1"/>
      <c r="E81" s="1"/>
      <c r="F81" s="1"/>
      <c r="G81" s="1"/>
    </row>
    <row r="82" spans="1:7">
      <c r="A82" s="1"/>
      <c r="B82" s="1"/>
      <c r="C82" s="1"/>
      <c r="D82" s="1"/>
      <c r="E82" s="1"/>
      <c r="F82" s="1"/>
      <c r="G82" s="1"/>
    </row>
    <row r="83" spans="1:7">
      <c r="A83" s="28"/>
      <c r="B83" s="28"/>
      <c r="C83" s="28"/>
      <c r="D83" s="28"/>
      <c r="E83" s="28"/>
      <c r="F83" s="28"/>
      <c r="G83" s="28"/>
    </row>
  </sheetData>
  <mergeCells count="3">
    <mergeCell ref="B13:D13"/>
    <mergeCell ref="E13:G13"/>
    <mergeCell ref="H13:J13"/>
  </mergeCells>
  <hyperlinks>
    <hyperlink ref="B3" location="'conto economico va'!C4" display="CONTO ECONOMICO A VALORE AGGIUNTO" xr:uid="{AC19EA07-7A85-FD41-AB31-F09EAA5B6C3A}"/>
    <hyperlink ref="B4" location="'conto economico margine '!C4" display="CONTO ECONOMICO A MARGINE DI CONTRIBUZIONE" xr:uid="{032E856F-8976-4D4A-BF31-1B3D02692100}"/>
    <hyperlink ref="B6" location="'break even'!C4" display="BREAK EVEN" xr:uid="{C884BAA2-7ECB-0442-A747-5944DD3C129E}"/>
    <hyperlink ref="B8" location="'stato patrimoniale'!C4" display="STATO PATRIMONIALE" xr:uid="{5447CA1A-05C7-A14A-A40F-5C3A00637DAC}"/>
    <hyperlink ref="B9" location="'rendiconto finanziario'!A1" display="RENDICONTO FINANZIARIO" xr:uid="{EC034F98-9E2E-B744-9FEE-5310CDFD0222}"/>
    <hyperlink ref="B7" location="Pareto!A1" display="PARETO" xr:uid="{6D82194C-1DE3-224D-9C89-6F171B78731B}"/>
    <hyperlink ref="B2" location="'bilancio cee'!A1" display="BILANCIO CEE" xr:uid="{48E644D5-3C51-9C45-BC3A-96D96BD720E7}"/>
    <hyperlink ref="B5" location="'Conto economico RI'!A1" display="CONTO ECONOMICO RI" xr:uid="{B53A2BA4-FACA-2E45-9188-D7B517D5B3D2}"/>
    <hyperlink ref="E3" location="'rendiconto OIC'!A1" display="RENDICONTO OIC" xr:uid="{D6355E69-4AFD-9846-A9EF-CB17A5D90984}"/>
    <hyperlink ref="E4" location="'flussi di ccn'!A1" display="FLUSSI CCN" xr:uid="{C772D156-5B60-E140-9331-AC3C859F9B53}"/>
    <hyperlink ref="E6" location="'albero redditività'!A1" display="ALBERO REDDITITIVITA'" xr:uid="{760C17A2-AB4E-2542-B481-4E0A56362D86}"/>
    <hyperlink ref="E7" location="indici!A1" display="INDICI" xr:uid="{49BF9368-AACD-B748-B7E7-2C97500EF267}"/>
    <hyperlink ref="E8" location="'indicatori crisi'!A1" display="INDICI DI CRISI" xr:uid="{DAB95D88-1977-B242-8F45-95E21E7AF17F}"/>
    <hyperlink ref="E9" location="valutazione!A1" display="VALUTAZIONE" xr:uid="{1E1FE5D7-410E-934D-82AB-503E8922B7A3}"/>
    <hyperlink ref="E2" location="'rendiconto di liquidità'!A1" display="RENDICONTO DI LIQUIDITA'" xr:uid="{77C69CC5-20E2-734B-B0F5-3B6F925AB296}"/>
    <hyperlink ref="E5" location="'albero redditività'!A1" display="ALBERO REDDITITIVITA'" xr:uid="{AF0901F6-EF09-3648-BBD6-CDE86F641DED}"/>
  </hyperlinks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M55"/>
  <sheetViews>
    <sheetView showGridLines="0" topLeftCell="A22" zoomScale="170" zoomScaleNormal="170" workbookViewId="0">
      <selection activeCell="D25" sqref="D25"/>
    </sheetView>
  </sheetViews>
  <sheetFormatPr baseColWidth="10" defaultColWidth="11.5" defaultRowHeight="12"/>
  <cols>
    <col min="1" max="1" width="8.5" style="174" customWidth="1"/>
    <col min="2" max="2" width="11.6640625" style="174" bestFit="1" customWidth="1"/>
    <col min="3" max="3" width="19.5" style="174" bestFit="1" customWidth="1"/>
    <col min="4" max="4" width="17.1640625" style="174" customWidth="1"/>
    <col min="5" max="5" width="13.5" style="174" customWidth="1"/>
    <col min="6" max="6" width="12.6640625" style="174" customWidth="1"/>
    <col min="7" max="7" width="19.83203125" style="174" customWidth="1"/>
    <col min="8" max="8" width="18" style="174" customWidth="1"/>
    <col min="9" max="10" width="12.6640625" style="174" customWidth="1"/>
    <col min="11" max="11" width="20" style="174" customWidth="1"/>
    <col min="12" max="12" width="16.83203125" style="174" customWidth="1"/>
    <col min="13" max="16384" width="11.5" style="174"/>
  </cols>
  <sheetData>
    <row r="1" spans="1:11" s="171" customFormat="1" ht="18">
      <c r="A1" s="454"/>
      <c r="B1" s="454"/>
      <c r="C1"/>
      <c r="D1"/>
      <c r="E1"/>
    </row>
    <row r="2" spans="1:11" s="171" customFormat="1" ht="18">
      <c r="A2" s="454">
        <v>1</v>
      </c>
      <c r="B2" s="663" t="s">
        <v>659</v>
      </c>
      <c r="C2"/>
      <c r="D2" s="454">
        <v>9</v>
      </c>
      <c r="E2" s="663" t="s">
        <v>610</v>
      </c>
    </row>
    <row r="3" spans="1:11" s="171" customFormat="1" ht="18">
      <c r="A3" s="454">
        <v>2</v>
      </c>
      <c r="B3" s="663" t="s">
        <v>607</v>
      </c>
      <c r="C3"/>
      <c r="D3" s="454">
        <v>10</v>
      </c>
      <c r="E3" s="663" t="s">
        <v>661</v>
      </c>
    </row>
    <row r="4" spans="1:11" s="171" customFormat="1" ht="18">
      <c r="A4" s="454">
        <v>3</v>
      </c>
      <c r="B4" s="663" t="s">
        <v>609</v>
      </c>
      <c r="C4"/>
      <c r="D4" s="454">
        <v>11</v>
      </c>
      <c r="E4" s="663" t="s">
        <v>662</v>
      </c>
    </row>
    <row r="5" spans="1:11" s="171" customFormat="1" ht="18">
      <c r="A5" s="454">
        <v>4</v>
      </c>
      <c r="B5" s="663" t="s">
        <v>660</v>
      </c>
      <c r="C5"/>
      <c r="D5" s="454">
        <v>12</v>
      </c>
      <c r="E5" s="663" t="s">
        <v>663</v>
      </c>
    </row>
    <row r="6" spans="1:11" s="171" customFormat="1" ht="18">
      <c r="A6" s="454">
        <v>5</v>
      </c>
      <c r="B6" s="663" t="s">
        <v>611</v>
      </c>
      <c r="C6"/>
      <c r="D6" s="454">
        <v>13</v>
      </c>
      <c r="E6" s="663" t="s">
        <v>663</v>
      </c>
    </row>
    <row r="7" spans="1:11" s="171" customFormat="1" ht="18">
      <c r="A7" s="454">
        <v>6</v>
      </c>
      <c r="B7" s="663" t="s">
        <v>613</v>
      </c>
      <c r="C7"/>
      <c r="D7" s="454">
        <v>14</v>
      </c>
      <c r="E7" s="663" t="s">
        <v>664</v>
      </c>
    </row>
    <row r="8" spans="1:11" s="171" customFormat="1" ht="18">
      <c r="A8" s="454">
        <v>7</v>
      </c>
      <c r="B8" s="663" t="s">
        <v>612</v>
      </c>
      <c r="C8"/>
      <c r="D8" s="454">
        <v>15</v>
      </c>
      <c r="E8" s="663" t="s">
        <v>665</v>
      </c>
    </row>
    <row r="9" spans="1:11" s="171" customFormat="1" ht="18">
      <c r="A9" s="454">
        <v>8</v>
      </c>
      <c r="B9" s="663" t="s">
        <v>608</v>
      </c>
      <c r="C9"/>
      <c r="D9" s="454">
        <v>16</v>
      </c>
      <c r="E9" s="663" t="s">
        <v>666</v>
      </c>
    </row>
    <row r="10" spans="1:11" s="171" customFormat="1">
      <c r="D10" s="507"/>
    </row>
    <row r="11" spans="1:11" s="171" customFormat="1">
      <c r="D11" s="507"/>
    </row>
    <row r="12" spans="1:11" s="171" customFormat="1">
      <c r="D12" s="507"/>
    </row>
    <row r="13" spans="1:11" s="171" customFormat="1">
      <c r="D13" s="507"/>
    </row>
    <row r="14" spans="1:11" s="171" customFormat="1" ht="13" thickBot="1"/>
    <row r="15" spans="1:11" ht="19" thickBot="1">
      <c r="A15" s="171"/>
      <c r="B15" s="172" t="s">
        <v>136</v>
      </c>
      <c r="C15" s="173">
        <f>+'conto economico margine '!B14</f>
        <v>5946826</v>
      </c>
      <c r="D15" s="191"/>
      <c r="E15" s="171"/>
      <c r="F15" s="172" t="s">
        <v>136</v>
      </c>
      <c r="G15" s="173">
        <f>+'conto economico margine '!E14</f>
        <v>5554067</v>
      </c>
      <c r="J15" s="172" t="s">
        <v>136</v>
      </c>
      <c r="K15" s="173">
        <f>+'conto economico margine '!H14</f>
        <v>5207538</v>
      </c>
    </row>
    <row r="16" spans="1:11" ht="34">
      <c r="B16" s="172" t="s">
        <v>60</v>
      </c>
      <c r="C16" s="173">
        <f>+'conto economico margine '!B61</f>
        <v>117054</v>
      </c>
      <c r="D16" s="505"/>
      <c r="F16" s="172" t="s">
        <v>60</v>
      </c>
      <c r="G16" s="173">
        <f>+'conto economico margine '!E61</f>
        <v>30792</v>
      </c>
      <c r="J16" s="172" t="s">
        <v>60</v>
      </c>
      <c r="K16" s="173">
        <f>+'conto economico margine '!H61</f>
        <v>165999</v>
      </c>
    </row>
    <row r="17" spans="1:13" ht="13" thickBot="1">
      <c r="D17" s="508"/>
    </row>
    <row r="18" spans="1:13" ht="19" thickBot="1">
      <c r="A18" s="775"/>
      <c r="B18" s="776"/>
      <c r="C18" s="777"/>
      <c r="D18" s="644"/>
      <c r="E18" s="775"/>
      <c r="F18" s="776"/>
      <c r="G18" s="777"/>
      <c r="I18" s="775"/>
      <c r="J18" s="776"/>
      <c r="K18" s="777"/>
    </row>
    <row r="19" spans="1:13" s="175" customFormat="1" ht="24" thickBot="1">
      <c r="A19" s="778" t="s">
        <v>135</v>
      </c>
      <c r="B19" s="779"/>
      <c r="C19" s="780"/>
      <c r="D19" s="645"/>
      <c r="E19" s="778" t="s">
        <v>135</v>
      </c>
      <c r="F19" s="779"/>
      <c r="G19" s="780"/>
      <c r="I19" s="778" t="s">
        <v>135</v>
      </c>
      <c r="J19" s="779"/>
      <c r="K19" s="780"/>
    </row>
    <row r="20" spans="1:13" s="175" customFormat="1">
      <c r="A20" s="176"/>
      <c r="C20" s="177"/>
      <c r="E20" s="176"/>
      <c r="G20" s="177"/>
      <c r="I20" s="176"/>
      <c r="K20" s="177"/>
    </row>
    <row r="21" spans="1:13" s="175" customFormat="1" ht="13" thickBot="1">
      <c r="A21" s="176"/>
      <c r="B21" s="178"/>
      <c r="C21" s="177"/>
      <c r="E21" s="176"/>
      <c r="F21" s="178"/>
      <c r="G21" s="177"/>
      <c r="I21" s="176"/>
      <c r="J21" s="178"/>
      <c r="K21" s="177"/>
    </row>
    <row r="22" spans="1:13" ht="18">
      <c r="A22" s="771" t="s">
        <v>252</v>
      </c>
      <c r="B22" s="772"/>
      <c r="C22" s="173">
        <f>+'conto economico margine '!B39</f>
        <v>1538221</v>
      </c>
      <c r="D22" s="643"/>
      <c r="E22" s="771" t="s">
        <v>252</v>
      </c>
      <c r="F22" s="772"/>
      <c r="G22" s="173">
        <f>+'conto economico margine '!E39</f>
        <v>1541008</v>
      </c>
      <c r="H22" s="179"/>
      <c r="I22" s="771" t="s">
        <v>252</v>
      </c>
      <c r="J22" s="772"/>
      <c r="K22" s="173">
        <f>+'conto economico margine '!H39</f>
        <v>1466031</v>
      </c>
      <c r="L22" s="179"/>
    </row>
    <row r="23" spans="1:13" ht="18">
      <c r="A23" s="781" t="s">
        <v>253</v>
      </c>
      <c r="B23" s="782"/>
      <c r="C23" s="213"/>
      <c r="D23" s="504"/>
      <c r="E23" s="781" t="s">
        <v>253</v>
      </c>
      <c r="F23" s="782"/>
      <c r="G23" s="213"/>
      <c r="I23" s="781" t="s">
        <v>253</v>
      </c>
      <c r="J23" s="782"/>
      <c r="K23" s="213"/>
    </row>
    <row r="24" spans="1:13" ht="17" customHeight="1">
      <c r="A24" s="765" t="s">
        <v>236</v>
      </c>
      <c r="B24" s="766"/>
      <c r="C24" s="356">
        <f>+'conto economico margine '!D37+D24</f>
        <v>0.27834596135821027</v>
      </c>
      <c r="D24" s="360"/>
      <c r="E24" s="765" t="s">
        <v>236</v>
      </c>
      <c r="F24" s="766"/>
      <c r="G24" s="180">
        <f>+'conto economico margine '!G37</f>
        <v>0.28299982697363929</v>
      </c>
      <c r="H24" s="290"/>
      <c r="I24" s="765" t="s">
        <v>236</v>
      </c>
      <c r="J24" s="766"/>
      <c r="K24" s="180">
        <f>+'conto economico margine '!J37</f>
        <v>0.31339761706971703</v>
      </c>
      <c r="L24" s="181"/>
    </row>
    <row r="25" spans="1:13" ht="19" thickBot="1">
      <c r="A25" s="769" t="s">
        <v>135</v>
      </c>
      <c r="B25" s="770"/>
      <c r="C25" s="182">
        <f>+(C22+C23)/C24</f>
        <v>5526291.78628687</v>
      </c>
      <c r="D25" s="642"/>
      <c r="E25" s="769" t="s">
        <v>135</v>
      </c>
      <c r="F25" s="770"/>
      <c r="G25" s="182">
        <f>+(G22+G23)/G24</f>
        <v>5445261.2797658741</v>
      </c>
      <c r="I25" s="769" t="s">
        <v>135</v>
      </c>
      <c r="J25" s="770"/>
      <c r="K25" s="182">
        <f>+(K22+K23)/K24</f>
        <v>4677862.6261024615</v>
      </c>
    </row>
    <row r="26" spans="1:13" ht="18">
      <c r="A26" s="773" t="s">
        <v>286</v>
      </c>
      <c r="B26" s="774"/>
      <c r="C26" s="183">
        <f>+(C15-C25)/C25</f>
        <v>7.6096997765600791E-2</v>
      </c>
      <c r="E26" s="773" t="s">
        <v>286</v>
      </c>
      <c r="F26" s="774"/>
      <c r="G26" s="183">
        <f>+(G15-G25)/G25</f>
        <v>1.9981726246716319E-2</v>
      </c>
      <c r="I26" s="773"/>
      <c r="J26" s="774"/>
      <c r="K26" s="183">
        <f>+(K15-K25)/K25</f>
        <v>0.11323021136660819</v>
      </c>
    </row>
    <row r="27" spans="1:13" ht="19" thickBot="1">
      <c r="A27" s="773"/>
      <c r="B27" s="774"/>
      <c r="C27" s="184"/>
      <c r="E27" s="773"/>
      <c r="F27" s="774"/>
      <c r="G27" s="184"/>
      <c r="I27" s="773"/>
      <c r="J27" s="774"/>
      <c r="K27" s="184"/>
    </row>
    <row r="28" spans="1:13" ht="18">
      <c r="A28" s="771" t="s">
        <v>65</v>
      </c>
      <c r="B28" s="772"/>
      <c r="C28" s="185">
        <f>+C25</f>
        <v>5526291.78628687</v>
      </c>
      <c r="D28" s="508"/>
      <c r="E28" s="771" t="s">
        <v>65</v>
      </c>
      <c r="F28" s="772"/>
      <c r="G28" s="185">
        <f>+G25</f>
        <v>5445261.2797658741</v>
      </c>
      <c r="H28" s="189"/>
      <c r="I28" s="771" t="s">
        <v>65</v>
      </c>
      <c r="J28" s="772"/>
      <c r="K28" s="185">
        <f>+K25</f>
        <v>4677862.6261024615</v>
      </c>
    </row>
    <row r="29" spans="1:13" ht="18">
      <c r="A29" s="767" t="s">
        <v>128</v>
      </c>
      <c r="B29" s="768"/>
      <c r="C29" s="186">
        <f>+C28*(1-C24)</f>
        <v>3988070.7862868705</v>
      </c>
      <c r="D29" s="187"/>
      <c r="E29" s="767" t="s">
        <v>128</v>
      </c>
      <c r="F29" s="768"/>
      <c r="G29" s="186">
        <f>+G28*(1-G24)</f>
        <v>3904253.2797658737</v>
      </c>
      <c r="H29" s="187"/>
      <c r="I29" s="767" t="s">
        <v>128</v>
      </c>
      <c r="J29" s="768"/>
      <c r="K29" s="188">
        <f>+K28*(1-K24)</f>
        <v>3211831.6261024615</v>
      </c>
      <c r="M29" s="189"/>
    </row>
    <row r="30" spans="1:13" ht="17" customHeight="1">
      <c r="A30" s="765" t="s">
        <v>236</v>
      </c>
      <c r="B30" s="766"/>
      <c r="C30" s="190">
        <f>+C28-C29</f>
        <v>1538220.9999999995</v>
      </c>
      <c r="E30" s="765" t="s">
        <v>236</v>
      </c>
      <c r="F30" s="766"/>
      <c r="G30" s="190">
        <f>+G28-G29</f>
        <v>1541008.0000000005</v>
      </c>
      <c r="I30" s="765" t="s">
        <v>236</v>
      </c>
      <c r="J30" s="766"/>
      <c r="K30" s="190">
        <f>+K28-K29</f>
        <v>1466031</v>
      </c>
      <c r="M30" s="191"/>
    </row>
    <row r="31" spans="1:13" ht="18">
      <c r="A31" s="767" t="s">
        <v>252</v>
      </c>
      <c r="B31" s="768"/>
      <c r="C31" s="192">
        <f>+C22</f>
        <v>1538221</v>
      </c>
      <c r="E31" s="767" t="s">
        <v>252</v>
      </c>
      <c r="F31" s="768"/>
      <c r="G31" s="192">
        <f>+G22</f>
        <v>1541008</v>
      </c>
      <c r="I31" s="767" t="s">
        <v>252</v>
      </c>
      <c r="J31" s="768"/>
      <c r="K31" s="192">
        <f>+K22</f>
        <v>1466031</v>
      </c>
    </row>
    <row r="32" spans="1:13" ht="19" thickBot="1">
      <c r="A32" s="769" t="s">
        <v>60</v>
      </c>
      <c r="B32" s="770"/>
      <c r="C32" s="193">
        <f>+C30-C31</f>
        <v>0</v>
      </c>
      <c r="E32" s="769" t="s">
        <v>60</v>
      </c>
      <c r="F32" s="770"/>
      <c r="G32" s="193">
        <f>+G30-G31</f>
        <v>0</v>
      </c>
      <c r="I32" s="769" t="s">
        <v>60</v>
      </c>
      <c r="J32" s="770"/>
      <c r="K32" s="193">
        <f>+K30-K31</f>
        <v>0</v>
      </c>
      <c r="M32" s="191"/>
    </row>
    <row r="33" spans="1:13">
      <c r="A33" s="174" t="s">
        <v>285</v>
      </c>
      <c r="C33" s="194">
        <f>+C15/(C15-C25)</f>
        <v>14.141122900541605</v>
      </c>
      <c r="D33" s="508"/>
      <c r="E33" s="174" t="s">
        <v>285</v>
      </c>
      <c r="G33" s="194">
        <f>+G15/(G15-G25)</f>
        <v>51.045726162639937</v>
      </c>
      <c r="I33" s="174" t="s">
        <v>285</v>
      </c>
      <c r="K33" s="194">
        <f>+K15/(K15-K25)</f>
        <v>9.8315652503930764</v>
      </c>
      <c r="M33" s="191"/>
    </row>
    <row r="34" spans="1:13">
      <c r="A34" s="174" t="s">
        <v>263</v>
      </c>
      <c r="B34" s="608">
        <v>-0.1</v>
      </c>
      <c r="E34" s="174" t="s">
        <v>263</v>
      </c>
      <c r="F34" s="330">
        <v>7.0699999999999999E-2</v>
      </c>
      <c r="I34" s="174" t="s">
        <v>263</v>
      </c>
      <c r="J34" s="330">
        <v>-6.3E-2</v>
      </c>
    </row>
    <row r="35" spans="1:13">
      <c r="A35" s="174" t="s">
        <v>264</v>
      </c>
      <c r="B35" s="187">
        <f>+B34*C33</f>
        <v>-1.4141122900541605</v>
      </c>
      <c r="C35" s="196"/>
      <c r="D35" s="292"/>
      <c r="E35" s="174" t="s">
        <v>264</v>
      </c>
      <c r="F35" s="195">
        <f>+F34*G33</f>
        <v>3.6089328396986433</v>
      </c>
      <c r="G35" s="196"/>
      <c r="I35" s="174" t="s">
        <v>264</v>
      </c>
      <c r="J35" s="195">
        <f>+J34*K33</f>
        <v>-0.61938861077476381</v>
      </c>
      <c r="K35" s="196"/>
    </row>
    <row r="36" spans="1:13" ht="13" thickBot="1">
      <c r="C36" s="196"/>
      <c r="G36" s="196"/>
      <c r="K36" s="196"/>
    </row>
    <row r="37" spans="1:13" ht="19" thickBot="1">
      <c r="A37" s="771" t="s">
        <v>65</v>
      </c>
      <c r="B37" s="772"/>
      <c r="C37" s="185">
        <f>+C15*(1+B34)</f>
        <v>5352143.4000000004</v>
      </c>
      <c r="E37" s="771" t="s">
        <v>65</v>
      </c>
      <c r="F37" s="772"/>
      <c r="G37" s="185">
        <f>+G15*(1+F34)</f>
        <v>5946739.5368999997</v>
      </c>
      <c r="I37" s="771" t="s">
        <v>65</v>
      </c>
      <c r="J37" s="772"/>
      <c r="K37" s="185">
        <f>+K15*(1+J34)</f>
        <v>4879463.1060000006</v>
      </c>
    </row>
    <row r="38" spans="1:13" ht="19" thickBot="1">
      <c r="A38" s="767" t="s">
        <v>128</v>
      </c>
      <c r="B38" s="768"/>
      <c r="C38" s="185">
        <f>+C37*(1-C24)</f>
        <v>3862395.9000000004</v>
      </c>
      <c r="E38" s="767" t="s">
        <v>128</v>
      </c>
      <c r="F38" s="768"/>
      <c r="G38" s="185">
        <f>+G37*(1-G24)</f>
        <v>4263813.2768999999</v>
      </c>
      <c r="I38" s="767" t="s">
        <v>128</v>
      </c>
      <c r="J38" s="768"/>
      <c r="K38" s="185">
        <f>+K37*(1-K24)</f>
        <v>3350250.9960000003</v>
      </c>
    </row>
    <row r="39" spans="1:13" ht="18" customHeight="1" thickBot="1">
      <c r="A39" s="765" t="s">
        <v>236</v>
      </c>
      <c r="B39" s="766"/>
      <c r="C39" s="185">
        <f>+C37-C38</f>
        <v>1489747.5</v>
      </c>
      <c r="E39" s="765" t="s">
        <v>236</v>
      </c>
      <c r="F39" s="766"/>
      <c r="G39" s="185">
        <f>+G37-G38</f>
        <v>1682926.2599999998</v>
      </c>
      <c r="I39" s="765" t="s">
        <v>236</v>
      </c>
      <c r="J39" s="766"/>
      <c r="K39" s="185">
        <f>+K37-K38</f>
        <v>1529212.1100000003</v>
      </c>
    </row>
    <row r="40" spans="1:13" ht="19" thickBot="1">
      <c r="A40" s="767" t="s">
        <v>252</v>
      </c>
      <c r="B40" s="768"/>
      <c r="C40" s="185">
        <f>+C31</f>
        <v>1538221</v>
      </c>
      <c r="E40" s="767" t="s">
        <v>252</v>
      </c>
      <c r="F40" s="768"/>
      <c r="G40" s="185">
        <f>+G31</f>
        <v>1541008</v>
      </c>
      <c r="I40" s="767" t="s">
        <v>252</v>
      </c>
      <c r="J40" s="768"/>
      <c r="K40" s="185">
        <f>+K31</f>
        <v>1466031</v>
      </c>
    </row>
    <row r="41" spans="1:13" ht="19" thickBot="1">
      <c r="A41" s="769" t="s">
        <v>60</v>
      </c>
      <c r="B41" s="770"/>
      <c r="C41" s="185">
        <f>+C39-C40</f>
        <v>-48473.5</v>
      </c>
      <c r="D41" s="185">
        <f>+C41-C16</f>
        <v>-165527.5</v>
      </c>
      <c r="E41" s="769" t="s">
        <v>60</v>
      </c>
      <c r="F41" s="770"/>
      <c r="G41" s="185">
        <f>+G39-G40</f>
        <v>141918.25999999978</v>
      </c>
      <c r="H41" s="185">
        <f>+G41-G16</f>
        <v>111126.25999999978</v>
      </c>
      <c r="I41" s="769" t="s">
        <v>60</v>
      </c>
      <c r="J41" s="770"/>
      <c r="K41" s="185">
        <f>+K39-K40</f>
        <v>63181.110000000335</v>
      </c>
      <c r="L41" s="185">
        <f>+K41-K16</f>
        <v>-102817.88999999966</v>
      </c>
      <c r="M41" s="191"/>
    </row>
    <row r="42" spans="1:13" s="198" customFormat="1">
      <c r="A42" s="174"/>
      <c r="B42" s="174" t="s">
        <v>265</v>
      </c>
      <c r="C42" s="197">
        <f>+D41/C16</f>
        <v>-1.4141122900541629</v>
      </c>
      <c r="E42" s="174"/>
      <c r="F42" s="174" t="s">
        <v>265</v>
      </c>
      <c r="G42" s="291">
        <f>+G41/G16-1</f>
        <v>3.6089328396986158</v>
      </c>
    </row>
    <row r="43" spans="1:13" s="198" customFormat="1">
      <c r="G43" s="199"/>
    </row>
    <row r="44" spans="1:13" s="198" customFormat="1">
      <c r="C44" s="199"/>
    </row>
    <row r="45" spans="1:13" s="198" customFormat="1">
      <c r="C45" s="199"/>
    </row>
    <row r="46" spans="1:13" s="198" customFormat="1" ht="13" thickBot="1"/>
    <row r="47" spans="1:13" s="198" customFormat="1" ht="13" thickBot="1">
      <c r="A47" s="200">
        <f>+C25-(1-C24)*C25-C22</f>
        <v>0</v>
      </c>
      <c r="B47" s="201">
        <v>5300000</v>
      </c>
      <c r="C47" s="201">
        <v>6000000</v>
      </c>
      <c r="D47" s="201">
        <v>5900000</v>
      </c>
      <c r="E47" s="201">
        <v>6100000</v>
      </c>
      <c r="F47" s="201">
        <v>6500000</v>
      </c>
      <c r="G47" s="201">
        <v>6800000</v>
      </c>
      <c r="H47" s="201">
        <v>7100000</v>
      </c>
    </row>
    <row r="48" spans="1:13" s="198" customFormat="1">
      <c r="A48" s="202">
        <v>0.25829999999999997</v>
      </c>
      <c r="B48" s="203">
        <f t="dataTable" ref="B48:H54" dt2D="1" dtr="1" r1="C25" r2="C24"/>
        <v>-169231</v>
      </c>
      <c r="C48" s="204">
        <v>11579</v>
      </c>
      <c r="D48" s="204">
        <v>-14251</v>
      </c>
      <c r="E48" s="204">
        <v>37409</v>
      </c>
      <c r="F48" s="204">
        <v>140729</v>
      </c>
      <c r="G48" s="204">
        <v>218219</v>
      </c>
      <c r="H48" s="205">
        <v>295709</v>
      </c>
    </row>
    <row r="49" spans="1:8" s="198" customFormat="1">
      <c r="A49" s="206">
        <v>0.26</v>
      </c>
      <c r="B49" s="207">
        <v>-160221</v>
      </c>
      <c r="C49" s="208">
        <v>21779</v>
      </c>
      <c r="D49" s="208">
        <v>-4221</v>
      </c>
      <c r="E49" s="208">
        <v>47779</v>
      </c>
      <c r="F49" s="208">
        <v>151779</v>
      </c>
      <c r="G49" s="208">
        <v>229779</v>
      </c>
      <c r="H49" s="209">
        <v>307779</v>
      </c>
    </row>
    <row r="50" spans="1:8" s="198" customFormat="1">
      <c r="A50" s="202">
        <v>0.27800000000000002</v>
      </c>
      <c r="B50" s="207">
        <v>-64821</v>
      </c>
      <c r="C50" s="208">
        <v>129779</v>
      </c>
      <c r="D50" s="208">
        <v>101979</v>
      </c>
      <c r="E50" s="208">
        <v>157579</v>
      </c>
      <c r="F50" s="208">
        <v>268779</v>
      </c>
      <c r="G50" s="208">
        <v>352179</v>
      </c>
      <c r="H50" s="209">
        <v>435579</v>
      </c>
    </row>
    <row r="51" spans="1:8" s="198" customFormat="1">
      <c r="A51" s="206">
        <v>0.3</v>
      </c>
      <c r="B51" s="207">
        <v>51779.000000000466</v>
      </c>
      <c r="C51" s="208">
        <v>261779</v>
      </c>
      <c r="D51" s="208">
        <v>231779.00000000047</v>
      </c>
      <c r="E51" s="208">
        <v>291779</v>
      </c>
      <c r="F51" s="208">
        <v>411779</v>
      </c>
      <c r="G51" s="208">
        <v>501779</v>
      </c>
      <c r="H51" s="209">
        <v>591779</v>
      </c>
    </row>
    <row r="52" spans="1:8" s="198" customFormat="1">
      <c r="A52" s="202">
        <v>0.34</v>
      </c>
      <c r="B52" s="207">
        <v>263779.00000000047</v>
      </c>
      <c r="C52" s="208">
        <v>501779.00000000047</v>
      </c>
      <c r="D52" s="208">
        <v>467779.00000000047</v>
      </c>
      <c r="E52" s="208">
        <v>535779.00000000047</v>
      </c>
      <c r="F52" s="208">
        <v>671779.00000000093</v>
      </c>
      <c r="G52" s="208">
        <v>773779.00000000093</v>
      </c>
      <c r="H52" s="209">
        <v>875779.00000000093</v>
      </c>
    </row>
    <row r="53" spans="1:8" s="198" customFormat="1">
      <c r="A53" s="206">
        <v>0.34499999999999997</v>
      </c>
      <c r="B53" s="207">
        <v>290279</v>
      </c>
      <c r="C53" s="208">
        <v>531779</v>
      </c>
      <c r="D53" s="208">
        <v>497279</v>
      </c>
      <c r="E53" s="208">
        <v>566279</v>
      </c>
      <c r="F53" s="208">
        <v>704279</v>
      </c>
      <c r="G53" s="208">
        <v>807779</v>
      </c>
      <c r="H53" s="209">
        <v>911279</v>
      </c>
    </row>
    <row r="54" spans="1:8" s="198" customFormat="1" ht="13" thickBot="1">
      <c r="A54" s="202">
        <v>0.35</v>
      </c>
      <c r="B54" s="210">
        <v>316779</v>
      </c>
      <c r="C54" s="211">
        <v>561779</v>
      </c>
      <c r="D54" s="211">
        <v>526779</v>
      </c>
      <c r="E54" s="211">
        <v>596779</v>
      </c>
      <c r="F54" s="211">
        <v>736779</v>
      </c>
      <c r="G54" s="211">
        <v>841779</v>
      </c>
      <c r="H54" s="212">
        <v>946779</v>
      </c>
    </row>
    <row r="55" spans="1:8" s="198" customFormat="1"/>
  </sheetData>
  <mergeCells count="54">
    <mergeCell ref="E24:F24"/>
    <mergeCell ref="E25:F25"/>
    <mergeCell ref="E26:F26"/>
    <mergeCell ref="E18:G18"/>
    <mergeCell ref="E19:G19"/>
    <mergeCell ref="E22:F22"/>
    <mergeCell ref="E23:F23"/>
    <mergeCell ref="E27:F27"/>
    <mergeCell ref="E28:F28"/>
    <mergeCell ref="E29:F29"/>
    <mergeCell ref="E30:F30"/>
    <mergeCell ref="E40:F40"/>
    <mergeCell ref="E41:F41"/>
    <mergeCell ref="E31:F31"/>
    <mergeCell ref="E32:F32"/>
    <mergeCell ref="E37:F37"/>
    <mergeCell ref="E38:F38"/>
    <mergeCell ref="E39:F39"/>
    <mergeCell ref="I24:J24"/>
    <mergeCell ref="I25:J25"/>
    <mergeCell ref="I26:J26"/>
    <mergeCell ref="I18:K18"/>
    <mergeCell ref="I19:K19"/>
    <mergeCell ref="I22:J22"/>
    <mergeCell ref="I23:J23"/>
    <mergeCell ref="I27:J27"/>
    <mergeCell ref="I28:J28"/>
    <mergeCell ref="I29:J29"/>
    <mergeCell ref="I30:J30"/>
    <mergeCell ref="I39:J39"/>
    <mergeCell ref="I40:J40"/>
    <mergeCell ref="I41:J41"/>
    <mergeCell ref="I31:J31"/>
    <mergeCell ref="I32:J32"/>
    <mergeCell ref="I37:J37"/>
    <mergeCell ref="I38:J38"/>
    <mergeCell ref="A18:C18"/>
    <mergeCell ref="A19:C19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40:B40"/>
    <mergeCell ref="A41:B41"/>
    <mergeCell ref="A32:B32"/>
    <mergeCell ref="A37:B37"/>
    <mergeCell ref="A38:B38"/>
    <mergeCell ref="A39:B39"/>
  </mergeCells>
  <phoneticPr fontId="11"/>
  <hyperlinks>
    <hyperlink ref="B3" location="'conto economico va'!C4" display="CONTO ECONOMICO A VALORE AGGIUNTO" xr:uid="{70281722-4498-7649-A942-6787D6390401}"/>
    <hyperlink ref="B4" location="'conto economico margine '!C4" display="CONTO ECONOMICO A MARGINE DI CONTRIBUZIONE" xr:uid="{CFDF8DE6-2890-874C-A937-A6B7FDFBD92E}"/>
    <hyperlink ref="B6" location="'break even'!C4" display="BREAK EVEN" xr:uid="{0F466AD3-2513-A24B-BFD4-05446271BF24}"/>
    <hyperlink ref="B8" location="'stato patrimoniale'!C4" display="STATO PATRIMONIALE" xr:uid="{396CF9C6-D13E-DD4D-93AA-AD31DD6D117E}"/>
    <hyperlink ref="B9" location="'rendiconto finanziario'!A1" display="RENDICONTO FINANZIARIO" xr:uid="{DEB177FF-AA28-904D-B523-52BB0FD319CA}"/>
    <hyperlink ref="B7" location="Pareto!A1" display="PARETO" xr:uid="{68FFF160-0AF7-FA45-9E44-581AF3AD2D08}"/>
    <hyperlink ref="B2" location="'bilancio cee'!A1" display="BILANCIO CEE" xr:uid="{5C080804-2622-4C42-8352-3C86D0A9A750}"/>
    <hyperlink ref="B5" location="'Conto economico RI'!A1" display="CONTO ECONOMICO RI" xr:uid="{0C3153A5-21CA-014D-89DC-BD28E6673842}"/>
    <hyperlink ref="E3" location="'rendiconto OIC'!A1" display="RENDICONTO OIC" xr:uid="{EC90F2F4-8371-1B45-A84D-7F9E10551591}"/>
    <hyperlink ref="E4" location="'flussi di ccn'!A1" display="FLUSSI CCN" xr:uid="{3EC3FD1C-7E8D-5047-8517-2F1C375600ED}"/>
    <hyperlink ref="E6" location="'albero redditività'!A1" display="ALBERO REDDITITIVITA'" xr:uid="{EFB3723F-A1F6-6140-8D40-BD0FA8F2E940}"/>
    <hyperlink ref="E7" location="indici!A1" display="INDICI" xr:uid="{13C54B78-EA0F-A346-9963-2CE3843485DF}"/>
    <hyperlink ref="E8" location="'indicatori crisi'!A1" display="INDICI DI CRISI" xr:uid="{33A69705-2D6E-5D46-BAC7-8C62A02C5F2D}"/>
    <hyperlink ref="E9" location="valutazione!A1" display="VALUTAZIONE" xr:uid="{01F11925-5965-3C4A-9602-843D6FBD79AE}"/>
    <hyperlink ref="E2" location="'rendiconto di liquidità'!A1" display="RENDICONTO DI LIQUIDITA'" xr:uid="{C3A3D191-9BF1-2944-8C83-93684908C988}"/>
    <hyperlink ref="E5" location="'albero redditività'!A1" display="ALBERO REDDITITIVITA'" xr:uid="{AC6D4890-5649-EB44-A9FD-031892BB8D40}"/>
  </hyperlinks>
  <pageMargins left="0" right="0" top="0" bottom="0" header="0.51181102362204722" footer="0.51181102362204722"/>
  <pageSetup paperSize="0" orientation="landscape" horizontalDpi="4294967292" verticalDpi="4294967292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6B749-0C17-B44D-B0D6-C2DD86CEFAD0}">
  <sheetPr>
    <tabColor rgb="FFFFFF00"/>
  </sheetPr>
  <dimension ref="A1:H47"/>
  <sheetViews>
    <sheetView topLeftCell="A14" zoomScale="240" zoomScaleNormal="240" workbookViewId="0">
      <selection activeCell="F20" sqref="F20"/>
    </sheetView>
  </sheetViews>
  <sheetFormatPr baseColWidth="10" defaultRowHeight="12"/>
  <cols>
    <col min="2" max="2" width="25.5" customWidth="1"/>
    <col min="3" max="3" width="13" style="521" bestFit="1" customWidth="1"/>
  </cols>
  <sheetData>
    <row r="1" spans="1:6" ht="18">
      <c r="A1" s="454"/>
      <c r="B1" s="454"/>
      <c r="C1"/>
    </row>
    <row r="2" spans="1:6" ht="18">
      <c r="A2" s="454">
        <v>1</v>
      </c>
      <c r="B2" s="663" t="s">
        <v>659</v>
      </c>
      <c r="C2"/>
      <c r="D2" s="454">
        <v>9</v>
      </c>
      <c r="E2" s="663" t="s">
        <v>610</v>
      </c>
    </row>
    <row r="3" spans="1:6" ht="18">
      <c r="A3" s="454">
        <v>2</v>
      </c>
      <c r="B3" s="663" t="s">
        <v>607</v>
      </c>
      <c r="C3"/>
      <c r="D3" s="454">
        <v>10</v>
      </c>
      <c r="E3" s="663" t="s">
        <v>661</v>
      </c>
    </row>
    <row r="4" spans="1:6" ht="18">
      <c r="A4" s="454">
        <v>3</v>
      </c>
      <c r="B4" s="663" t="s">
        <v>609</v>
      </c>
      <c r="C4"/>
      <c r="D4" s="454">
        <v>11</v>
      </c>
      <c r="E4" s="663" t="s">
        <v>662</v>
      </c>
    </row>
    <row r="5" spans="1:6" ht="18">
      <c r="A5" s="454">
        <v>4</v>
      </c>
      <c r="B5" s="663" t="s">
        <v>660</v>
      </c>
      <c r="C5"/>
      <c r="D5" s="454">
        <v>12</v>
      </c>
      <c r="E5" s="663" t="s">
        <v>663</v>
      </c>
    </row>
    <row r="6" spans="1:6" ht="18">
      <c r="A6" s="454">
        <v>5</v>
      </c>
      <c r="B6" s="663" t="s">
        <v>611</v>
      </c>
      <c r="C6"/>
      <c r="D6" s="454">
        <v>13</v>
      </c>
      <c r="E6" s="663" t="s">
        <v>663</v>
      </c>
    </row>
    <row r="7" spans="1:6" ht="18">
      <c r="A7" s="454">
        <v>6</v>
      </c>
      <c r="B7" s="663" t="s">
        <v>613</v>
      </c>
      <c r="C7"/>
      <c r="D7" s="454">
        <v>14</v>
      </c>
      <c r="E7" s="663" t="s">
        <v>664</v>
      </c>
    </row>
    <row r="8" spans="1:6" ht="18">
      <c r="A8" s="454">
        <v>7</v>
      </c>
      <c r="B8" s="663" t="s">
        <v>612</v>
      </c>
      <c r="C8"/>
      <c r="D8" s="454">
        <v>15</v>
      </c>
      <c r="E8" s="663" t="s">
        <v>665</v>
      </c>
    </row>
    <row r="9" spans="1:6" ht="18">
      <c r="A9" s="454">
        <v>8</v>
      </c>
      <c r="B9" s="663" t="s">
        <v>608</v>
      </c>
      <c r="C9"/>
      <c r="D9" s="454">
        <v>16</v>
      </c>
      <c r="E9" s="663" t="s">
        <v>666</v>
      </c>
    </row>
    <row r="13" spans="1:6">
      <c r="C13" s="521">
        <f>SUM(C15:C47)</f>
        <v>5829772</v>
      </c>
    </row>
    <row r="14" spans="1:6">
      <c r="B14" s="597" t="s">
        <v>597</v>
      </c>
      <c r="C14" s="599" t="s">
        <v>89</v>
      </c>
      <c r="D14" s="171" t="s">
        <v>598</v>
      </c>
      <c r="E14" s="171" t="s">
        <v>146</v>
      </c>
      <c r="F14" s="171" t="s">
        <v>599</v>
      </c>
    </row>
    <row r="15" spans="1:6">
      <c r="B15" s="600" t="s">
        <v>38</v>
      </c>
      <c r="C15" s="601">
        <v>3579780</v>
      </c>
      <c r="D15" s="602">
        <f>+C15</f>
        <v>3579780</v>
      </c>
      <c r="E15" s="603">
        <f>+C15/$C$13</f>
        <v>0.61405145861622035</v>
      </c>
      <c r="F15" s="603">
        <f>+E15</f>
        <v>0.61405145861622035</v>
      </c>
    </row>
    <row r="16" spans="1:6">
      <c r="B16" s="600" t="s">
        <v>228</v>
      </c>
      <c r="C16" s="601">
        <v>839729</v>
      </c>
      <c r="D16" s="602">
        <f>+D15+C16</f>
        <v>4419509</v>
      </c>
      <c r="E16" s="603">
        <f t="shared" ref="E16:E47" si="0">+C16/$C$13</f>
        <v>0.14404148223978572</v>
      </c>
      <c r="F16" s="603">
        <f>+F15+E16</f>
        <v>0.75809294085600609</v>
      </c>
    </row>
    <row r="17" spans="2:8">
      <c r="B17" s="600" t="s">
        <v>262</v>
      </c>
      <c r="C17" s="601">
        <v>312589</v>
      </c>
      <c r="D17" s="602">
        <f t="shared" ref="D17:F47" si="1">+D16+C17</f>
        <v>4732098</v>
      </c>
      <c r="E17" s="603">
        <f t="shared" si="0"/>
        <v>5.3619421136881514E-2</v>
      </c>
      <c r="F17" s="603">
        <f t="shared" si="1"/>
        <v>0.81171236199288765</v>
      </c>
      <c r="G17" s="11"/>
      <c r="H17" s="526"/>
    </row>
    <row r="18" spans="2:8">
      <c r="B18" s="600" t="s">
        <v>8</v>
      </c>
      <c r="C18" s="601">
        <v>253624</v>
      </c>
      <c r="D18" s="602">
        <f t="shared" si="1"/>
        <v>4985722</v>
      </c>
      <c r="E18" s="603">
        <f t="shared" si="0"/>
        <v>4.3504960399823524E-2</v>
      </c>
      <c r="F18" s="603">
        <f t="shared" si="1"/>
        <v>0.8552173223927112</v>
      </c>
    </row>
    <row r="19" spans="2:8">
      <c r="B19" s="600" t="s">
        <v>118</v>
      </c>
      <c r="C19" s="601">
        <v>135582</v>
      </c>
      <c r="D19" s="602">
        <f t="shared" si="1"/>
        <v>5121304</v>
      </c>
      <c r="E19" s="603">
        <f t="shared" si="0"/>
        <v>2.325682719667253E-2</v>
      </c>
      <c r="F19" s="603">
        <f t="shared" si="1"/>
        <v>0.87847414958938375</v>
      </c>
    </row>
    <row r="20" spans="2:8">
      <c r="B20" s="600" t="s">
        <v>119</v>
      </c>
      <c r="C20" s="601">
        <v>133696</v>
      </c>
      <c r="D20" s="602">
        <f t="shared" si="1"/>
        <v>5255000</v>
      </c>
      <c r="E20" s="603">
        <f t="shared" si="0"/>
        <v>2.2933315402386235E-2</v>
      </c>
      <c r="F20" s="603">
        <f t="shared" si="1"/>
        <v>0.90140746499176994</v>
      </c>
    </row>
    <row r="21" spans="2:8">
      <c r="B21" s="314" t="s">
        <v>7</v>
      </c>
      <c r="C21" s="521">
        <v>123618</v>
      </c>
      <c r="D21" s="526">
        <f t="shared" si="1"/>
        <v>5378618</v>
      </c>
      <c r="E21" s="32">
        <f t="shared" si="0"/>
        <v>2.1204602855823523E-2</v>
      </c>
      <c r="F21" s="32">
        <f t="shared" si="1"/>
        <v>0.92261206784759342</v>
      </c>
    </row>
    <row r="22" spans="2:8">
      <c r="B22" s="314" t="s">
        <v>123</v>
      </c>
      <c r="C22" s="521">
        <v>98642</v>
      </c>
      <c r="D22" s="526">
        <f t="shared" si="1"/>
        <v>5477260</v>
      </c>
      <c r="E22" s="32">
        <f t="shared" si="0"/>
        <v>1.6920387281012018E-2</v>
      </c>
      <c r="F22" s="32">
        <f t="shared" si="1"/>
        <v>0.93953245512860539</v>
      </c>
    </row>
    <row r="23" spans="2:8">
      <c r="B23" s="314" t="s">
        <v>12</v>
      </c>
      <c r="C23" s="521">
        <v>47156</v>
      </c>
      <c r="D23" s="526">
        <f t="shared" si="1"/>
        <v>5524416</v>
      </c>
      <c r="E23" s="32">
        <f t="shared" si="0"/>
        <v>8.0888240569270981E-3</v>
      </c>
      <c r="F23" s="32">
        <f t="shared" si="1"/>
        <v>0.94762127918553252</v>
      </c>
    </row>
    <row r="24" spans="2:8">
      <c r="B24" s="314" t="s">
        <v>111</v>
      </c>
      <c r="C24" s="521">
        <v>44147</v>
      </c>
      <c r="D24" s="526">
        <f t="shared" si="1"/>
        <v>5568563</v>
      </c>
      <c r="E24" s="32">
        <f t="shared" si="0"/>
        <v>7.5726803724056446E-3</v>
      </c>
      <c r="F24" s="32">
        <f t="shared" si="1"/>
        <v>0.95519395955793818</v>
      </c>
    </row>
    <row r="25" spans="2:8">
      <c r="B25" s="314" t="s">
        <v>78</v>
      </c>
      <c r="C25" s="521">
        <v>29920</v>
      </c>
      <c r="D25" s="526">
        <f t="shared" si="1"/>
        <v>5598483</v>
      </c>
      <c r="E25" s="32">
        <f t="shared" si="0"/>
        <v>5.1322761850720747E-3</v>
      </c>
      <c r="F25" s="32">
        <f t="shared" si="1"/>
        <v>0.96032623574301024</v>
      </c>
    </row>
    <row r="26" spans="2:8">
      <c r="B26" s="314" t="s">
        <v>10</v>
      </c>
      <c r="C26" s="521">
        <v>29327</v>
      </c>
      <c r="D26" s="526">
        <f t="shared" si="1"/>
        <v>5627810</v>
      </c>
      <c r="E26" s="32">
        <f t="shared" si="0"/>
        <v>5.030556941163394E-3</v>
      </c>
      <c r="F26" s="32">
        <f t="shared" si="1"/>
        <v>0.96535679268417363</v>
      </c>
    </row>
    <row r="27" spans="2:8">
      <c r="B27" s="314" t="s">
        <v>0</v>
      </c>
      <c r="C27" s="521">
        <v>28182</v>
      </c>
      <c r="D27" s="526">
        <f t="shared" si="1"/>
        <v>5655992</v>
      </c>
      <c r="E27" s="32">
        <f t="shared" si="0"/>
        <v>4.8341513184392117E-3</v>
      </c>
      <c r="F27" s="32">
        <f t="shared" si="1"/>
        <v>0.97019094400261285</v>
      </c>
    </row>
    <row r="28" spans="2:8">
      <c r="B28" s="314" t="s">
        <v>5</v>
      </c>
      <c r="C28" s="521">
        <v>27708</v>
      </c>
      <c r="D28" s="526">
        <f t="shared" si="1"/>
        <v>5683700</v>
      </c>
      <c r="E28" s="32">
        <f t="shared" si="0"/>
        <v>4.7528445366302489E-3</v>
      </c>
      <c r="F28" s="32">
        <f t="shared" si="1"/>
        <v>0.97494378853924313</v>
      </c>
    </row>
    <row r="29" spans="2:8">
      <c r="B29" s="314" t="s">
        <v>116</v>
      </c>
      <c r="C29" s="521">
        <v>25542</v>
      </c>
      <c r="D29" s="526">
        <f t="shared" si="1"/>
        <v>5709242</v>
      </c>
      <c r="E29" s="32">
        <f t="shared" si="0"/>
        <v>4.3813034197563811E-3</v>
      </c>
      <c r="F29" s="32">
        <f t="shared" si="1"/>
        <v>0.97932509195899953</v>
      </c>
    </row>
    <row r="30" spans="2:8">
      <c r="B30" s="314" t="s">
        <v>3</v>
      </c>
      <c r="C30" s="521">
        <v>23504</v>
      </c>
      <c r="D30" s="526">
        <f t="shared" si="1"/>
        <v>5732746</v>
      </c>
      <c r="E30" s="32">
        <f t="shared" si="0"/>
        <v>4.0317185646368331E-3</v>
      </c>
      <c r="F30" s="32">
        <f t="shared" si="1"/>
        <v>0.98335681052363633</v>
      </c>
    </row>
    <row r="31" spans="2:8">
      <c r="B31" s="314" t="s">
        <v>39</v>
      </c>
      <c r="C31" s="521">
        <v>17396</v>
      </c>
      <c r="D31" s="526">
        <f t="shared" si="1"/>
        <v>5750142</v>
      </c>
      <c r="E31" s="32">
        <f t="shared" si="0"/>
        <v>2.9839931990479217E-3</v>
      </c>
      <c r="F31" s="32">
        <f t="shared" si="1"/>
        <v>0.98634080372268429</v>
      </c>
    </row>
    <row r="32" spans="2:8">
      <c r="B32" s="314" t="s">
        <v>6</v>
      </c>
      <c r="C32" s="521">
        <v>17349</v>
      </c>
      <c r="D32" s="526">
        <f t="shared" si="1"/>
        <v>5767491</v>
      </c>
      <c r="E32" s="32">
        <f t="shared" si="0"/>
        <v>2.9759311341850075E-3</v>
      </c>
      <c r="F32" s="32">
        <f t="shared" si="1"/>
        <v>0.98931673485686933</v>
      </c>
    </row>
    <row r="33" spans="2:6">
      <c r="B33" s="314" t="s">
        <v>110</v>
      </c>
      <c r="C33" s="521">
        <v>16402</v>
      </c>
      <c r="D33" s="526">
        <f t="shared" si="1"/>
        <v>5783893</v>
      </c>
      <c r="E33" s="32">
        <f t="shared" si="0"/>
        <v>2.8134891038620376E-3</v>
      </c>
      <c r="F33" s="32">
        <f t="shared" si="1"/>
        <v>0.99213022396073136</v>
      </c>
    </row>
    <row r="34" spans="2:6">
      <c r="B34" s="314" t="s">
        <v>14</v>
      </c>
      <c r="C34" s="521">
        <v>15714</v>
      </c>
      <c r="D34" s="526">
        <f t="shared" si="1"/>
        <v>5799607</v>
      </c>
      <c r="E34" s="32">
        <f t="shared" si="0"/>
        <v>2.6954741969325729E-3</v>
      </c>
      <c r="F34" s="32">
        <f t="shared" si="1"/>
        <v>0.99482569815766397</v>
      </c>
    </row>
    <row r="35" spans="2:6">
      <c r="B35" s="314" t="s">
        <v>120</v>
      </c>
      <c r="C35" s="521">
        <v>12923</v>
      </c>
      <c r="D35" s="526">
        <f t="shared" si="1"/>
        <v>5812530</v>
      </c>
      <c r="E35" s="32">
        <f t="shared" si="0"/>
        <v>2.2167247707114445E-3</v>
      </c>
      <c r="F35" s="32">
        <f t="shared" si="1"/>
        <v>0.99704242292837542</v>
      </c>
    </row>
    <row r="36" spans="2:6">
      <c r="B36" s="314" t="s">
        <v>121</v>
      </c>
      <c r="C36" s="521">
        <v>11596</v>
      </c>
      <c r="D36" s="526">
        <f t="shared" si="1"/>
        <v>5824126</v>
      </c>
      <c r="E36" s="32">
        <f t="shared" si="0"/>
        <v>1.9891000883053402E-3</v>
      </c>
      <c r="F36" s="32">
        <f t="shared" si="1"/>
        <v>0.99903152301668074</v>
      </c>
    </row>
    <row r="37" spans="2:6">
      <c r="B37" s="314" t="s">
        <v>13</v>
      </c>
      <c r="C37" s="521">
        <v>10812</v>
      </c>
      <c r="D37" s="526">
        <f t="shared" si="1"/>
        <v>5834938</v>
      </c>
      <c r="E37" s="32">
        <f t="shared" si="0"/>
        <v>1.8546179850601361E-3</v>
      </c>
      <c r="F37" s="32">
        <f t="shared" si="1"/>
        <v>1.0008861410017409</v>
      </c>
    </row>
    <row r="38" spans="2:6">
      <c r="B38" s="314" t="s">
        <v>117</v>
      </c>
      <c r="C38" s="521">
        <v>9776</v>
      </c>
      <c r="D38" s="526">
        <f t="shared" si="1"/>
        <v>5844714</v>
      </c>
      <c r="E38" s="32">
        <f t="shared" si="0"/>
        <v>1.6769094914861164E-3</v>
      </c>
      <c r="F38" s="32">
        <f t="shared" si="1"/>
        <v>1.002563050493227</v>
      </c>
    </row>
    <row r="39" spans="2:6">
      <c r="B39" s="314" t="s">
        <v>16</v>
      </c>
      <c r="C39" s="521">
        <v>5579</v>
      </c>
      <c r="D39" s="526">
        <f t="shared" si="1"/>
        <v>5850293</v>
      </c>
      <c r="E39" s="32">
        <f t="shared" si="0"/>
        <v>9.5698425255738985E-4</v>
      </c>
      <c r="F39" s="32">
        <f t="shared" si="1"/>
        <v>1.0035200347457844</v>
      </c>
    </row>
    <row r="40" spans="2:6">
      <c r="B40" s="314" t="s">
        <v>124</v>
      </c>
      <c r="C40" s="521">
        <v>2977</v>
      </c>
      <c r="D40" s="526">
        <f t="shared" si="1"/>
        <v>5853270</v>
      </c>
      <c r="E40" s="32">
        <f t="shared" si="0"/>
        <v>5.1065461908287322E-4</v>
      </c>
      <c r="F40" s="32">
        <f t="shared" si="1"/>
        <v>1.0040306893648674</v>
      </c>
    </row>
    <row r="41" spans="2:6">
      <c r="B41" s="318" t="s">
        <v>15</v>
      </c>
      <c r="C41" s="521">
        <v>2432</v>
      </c>
      <c r="D41" s="526">
        <f t="shared" si="1"/>
        <v>5855702</v>
      </c>
      <c r="E41" s="32">
        <f t="shared" si="0"/>
        <v>4.1716897333206169E-4</v>
      </c>
      <c r="F41" s="32">
        <f t="shared" si="1"/>
        <v>1.0044478583381995</v>
      </c>
    </row>
    <row r="42" spans="2:6">
      <c r="B42" s="314" t="s">
        <v>9</v>
      </c>
      <c r="C42" s="521">
        <v>2408</v>
      </c>
      <c r="D42" s="526">
        <f t="shared" si="1"/>
        <v>5858110</v>
      </c>
      <c r="E42" s="32">
        <f t="shared" si="0"/>
        <v>4.1305217425312686E-4</v>
      </c>
      <c r="F42" s="32">
        <f t="shared" si="1"/>
        <v>1.0048609105124526</v>
      </c>
    </row>
    <row r="43" spans="2:6">
      <c r="B43" s="314" t="s">
        <v>43</v>
      </c>
      <c r="C43" s="521">
        <v>2148</v>
      </c>
      <c r="D43" s="526">
        <f t="shared" si="1"/>
        <v>5860258</v>
      </c>
      <c r="E43" s="32">
        <f t="shared" si="0"/>
        <v>3.6845351756466634E-4</v>
      </c>
      <c r="F43" s="32">
        <f t="shared" si="1"/>
        <v>1.0052293640300174</v>
      </c>
    </row>
    <row r="44" spans="2:6">
      <c r="B44" s="314" t="s">
        <v>4</v>
      </c>
      <c r="C44" s="521">
        <v>1515</v>
      </c>
      <c r="D44" s="526">
        <f t="shared" si="1"/>
        <v>5861773</v>
      </c>
      <c r="E44" s="32">
        <f t="shared" si="0"/>
        <v>2.5987294185776048E-4</v>
      </c>
      <c r="F44" s="32">
        <f t="shared" si="1"/>
        <v>1.0054892369718751</v>
      </c>
    </row>
    <row r="45" spans="2:6">
      <c r="B45" s="312" t="s">
        <v>437</v>
      </c>
      <c r="C45" s="521">
        <v>-32001</v>
      </c>
      <c r="D45" s="526">
        <f t="shared" si="1"/>
        <v>5829772</v>
      </c>
      <c r="E45" s="32">
        <f t="shared" si="0"/>
        <v>-5.489236971874715E-3</v>
      </c>
      <c r="F45" s="32">
        <f t="shared" si="1"/>
        <v>1.0000000000000004</v>
      </c>
    </row>
    <row r="46" spans="2:6">
      <c r="B46" s="598" t="s">
        <v>115</v>
      </c>
      <c r="D46" s="526">
        <f t="shared" si="1"/>
        <v>5829772</v>
      </c>
      <c r="E46" s="32">
        <f t="shared" si="0"/>
        <v>0</v>
      </c>
      <c r="F46" s="32">
        <f t="shared" si="1"/>
        <v>1.0000000000000004</v>
      </c>
    </row>
    <row r="47" spans="2:6">
      <c r="B47" s="598" t="s">
        <v>11</v>
      </c>
      <c r="D47" s="526">
        <f t="shared" si="1"/>
        <v>5829772</v>
      </c>
      <c r="E47" s="32">
        <f t="shared" si="0"/>
        <v>0</v>
      </c>
      <c r="F47" s="32">
        <f t="shared" si="1"/>
        <v>1.0000000000000004</v>
      </c>
    </row>
  </sheetData>
  <sortState xmlns:xlrd2="http://schemas.microsoft.com/office/spreadsheetml/2017/richdata2" ref="B15:C47">
    <sortCondition descending="1" ref="C15:C47"/>
  </sortState>
  <hyperlinks>
    <hyperlink ref="B3" location="'conto economico va'!C4" display="CONTO ECONOMICO A VALORE AGGIUNTO" xr:uid="{D5FCFA73-11E5-A244-8763-2C069557878D}"/>
    <hyperlink ref="B4" location="'conto economico margine '!C4" display="CONTO ECONOMICO A MARGINE DI CONTRIBUZIONE" xr:uid="{F40FE592-EC2C-7B42-BBE0-56652476B3CF}"/>
    <hyperlink ref="B6" location="'break even'!C4" display="BREAK EVEN" xr:uid="{042122C2-83ED-A549-A23D-B006B58DC024}"/>
    <hyperlink ref="B8" location="'stato patrimoniale'!C4" display="STATO PATRIMONIALE" xr:uid="{3A728A62-C3F6-C040-BD2A-B2ADC560268C}"/>
    <hyperlink ref="B9" location="'rendiconto finanziario'!A1" display="RENDICONTO FINANZIARIO" xr:uid="{30E32B20-03EC-234C-A706-D5945D9658A1}"/>
    <hyperlink ref="B7" location="Pareto!A1" display="PARETO" xr:uid="{58753499-6503-C146-8215-EF267A463C8E}"/>
    <hyperlink ref="B2" location="'bilancio cee'!A1" display="BILANCIO CEE" xr:uid="{8D2A3FB6-E735-C24A-B9B5-D6FD70F48E00}"/>
    <hyperlink ref="B5" location="'Conto economico RI'!A1" display="CONTO ECONOMICO RI" xr:uid="{2F3476DA-D13F-054A-B329-DE26C0679E8B}"/>
    <hyperlink ref="E3" location="'rendiconto OIC'!A1" display="RENDICONTO OIC" xr:uid="{5BB92CB2-A37E-2341-B7FD-85F0F22A2985}"/>
    <hyperlink ref="E4" location="'flussi di ccn'!A1" display="FLUSSI CCN" xr:uid="{8D9875FC-8434-0743-93C7-9C58F31CA649}"/>
    <hyperlink ref="E6" location="'albero redditività'!A1" display="ALBERO REDDITITIVITA'" xr:uid="{83CF3961-ED3F-C34D-8051-0FA4D60410E0}"/>
    <hyperlink ref="E7" location="indici!A1" display="INDICI" xr:uid="{5B33AF1E-37C3-FB42-BAE6-4866A408294A}"/>
    <hyperlink ref="E8" location="'indicatori crisi'!A1" display="INDICI DI CRISI" xr:uid="{CB55A0CC-C00F-0248-9AB5-3C507EC00BAE}"/>
    <hyperlink ref="E9" location="valutazione!A1" display="VALUTAZIONE" xr:uid="{6EFB8ABC-5474-7B49-AF7B-86252E703970}"/>
    <hyperlink ref="E2" location="'rendiconto di liquidità'!A1" display="RENDICONTO DI LIQUIDITA'" xr:uid="{9B12FA3A-9EB1-8846-B43B-1D8EE96E8565}"/>
    <hyperlink ref="E5" location="'albero redditività'!A1" display="ALBERO REDDITITIVITA'" xr:uid="{B7536F8C-0490-D44D-A44F-A44C37FE3071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pageSetUpPr fitToPage="1"/>
  </sheetPr>
  <dimension ref="A1:N116"/>
  <sheetViews>
    <sheetView showGridLines="0" topLeftCell="A12" zoomScale="90" zoomScaleNormal="90" workbookViewId="0">
      <selection activeCell="A13" sqref="A13:H67"/>
    </sheetView>
  </sheetViews>
  <sheetFormatPr baseColWidth="10" defaultColWidth="11.5" defaultRowHeight="12" outlineLevelCol="1"/>
  <cols>
    <col min="1" max="1" width="30.83203125" customWidth="1"/>
    <col min="2" max="2" width="13.5" customWidth="1" outlineLevel="1" collapsed="1"/>
    <col min="3" max="3" width="14.83203125" bestFit="1" customWidth="1"/>
    <col min="4" max="4" width="14.83203125" customWidth="1"/>
    <col min="5" max="5" width="23" customWidth="1"/>
    <col min="6" max="6" width="15" bestFit="1" customWidth="1" outlineLevel="1" collapsed="1"/>
    <col min="7" max="7" width="13.5" bestFit="1" customWidth="1"/>
    <col min="8" max="8" width="14.83203125" customWidth="1"/>
    <col min="9" max="12" width="13.83203125" bestFit="1" customWidth="1"/>
    <col min="13" max="13" width="16" customWidth="1"/>
  </cols>
  <sheetData>
    <row r="1" spans="1:14" ht="18">
      <c r="A1" s="454"/>
      <c r="B1" s="454"/>
    </row>
    <row r="2" spans="1:14" ht="18">
      <c r="A2" s="454">
        <v>1</v>
      </c>
      <c r="B2" s="663" t="s">
        <v>659</v>
      </c>
      <c r="D2" s="454">
        <v>9</v>
      </c>
      <c r="E2" s="663" t="s">
        <v>610</v>
      </c>
    </row>
    <row r="3" spans="1:14" ht="18">
      <c r="A3" s="454">
        <v>2</v>
      </c>
      <c r="B3" s="663" t="s">
        <v>607</v>
      </c>
      <c r="D3" s="454">
        <v>10</v>
      </c>
      <c r="E3" s="663" t="s">
        <v>661</v>
      </c>
    </row>
    <row r="4" spans="1:14" ht="18">
      <c r="A4" s="454">
        <v>3</v>
      </c>
      <c r="B4" s="663" t="s">
        <v>609</v>
      </c>
      <c r="D4" s="454">
        <v>11</v>
      </c>
      <c r="E4" s="663" t="s">
        <v>662</v>
      </c>
    </row>
    <row r="5" spans="1:14" ht="18">
      <c r="A5" s="454">
        <v>4</v>
      </c>
      <c r="B5" s="663" t="s">
        <v>660</v>
      </c>
      <c r="D5" s="454">
        <v>12</v>
      </c>
      <c r="E5" s="663" t="s">
        <v>663</v>
      </c>
    </row>
    <row r="6" spans="1:14" ht="18">
      <c r="A6" s="454">
        <v>5</v>
      </c>
      <c r="B6" s="663" t="s">
        <v>611</v>
      </c>
      <c r="D6" s="454">
        <v>13</v>
      </c>
      <c r="E6" s="663" t="s">
        <v>663</v>
      </c>
    </row>
    <row r="7" spans="1:14" ht="18">
      <c r="A7" s="454">
        <v>6</v>
      </c>
      <c r="B7" s="663" t="s">
        <v>613</v>
      </c>
      <c r="D7" s="454">
        <v>14</v>
      </c>
      <c r="E7" s="663" t="s">
        <v>664</v>
      </c>
    </row>
    <row r="8" spans="1:14" ht="18">
      <c r="A8" s="454">
        <v>7</v>
      </c>
      <c r="B8" s="663" t="s">
        <v>612</v>
      </c>
      <c r="D8" s="454">
        <v>15</v>
      </c>
      <c r="E8" s="663" t="s">
        <v>665</v>
      </c>
    </row>
    <row r="9" spans="1:14" ht="18">
      <c r="A9" s="454">
        <v>8</v>
      </c>
      <c r="B9" s="663" t="s">
        <v>608</v>
      </c>
      <c r="D9" s="454">
        <v>16</v>
      </c>
      <c r="E9" s="663" t="s">
        <v>666</v>
      </c>
    </row>
    <row r="10" spans="1:14">
      <c r="B10" s="591"/>
      <c r="C10" s="4"/>
    </row>
    <row r="11" spans="1:14">
      <c r="C11" s="45"/>
      <c r="D11" s="4"/>
    </row>
    <row r="13" spans="1:14" ht="19">
      <c r="A13" s="783" t="s">
        <v>241</v>
      </c>
      <c r="B13" s="784"/>
      <c r="C13" s="784"/>
      <c r="D13" s="784"/>
      <c r="E13" s="783" t="s">
        <v>194</v>
      </c>
      <c r="F13" s="784"/>
      <c r="G13" s="784"/>
      <c r="H13" s="784"/>
      <c r="I13" s="785" t="s">
        <v>61</v>
      </c>
      <c r="J13" s="786"/>
      <c r="K13" s="785" t="s">
        <v>296</v>
      </c>
      <c r="L13" s="786" t="s">
        <v>296</v>
      </c>
    </row>
    <row r="14" spans="1:14" ht="19">
      <c r="A14" s="124"/>
      <c r="B14" s="128" t="s">
        <v>392</v>
      </c>
      <c r="C14" s="125" t="s">
        <v>394</v>
      </c>
      <c r="D14" s="128" t="s">
        <v>433</v>
      </c>
      <c r="E14" s="813"/>
      <c r="F14" s="128" t="s">
        <v>392</v>
      </c>
      <c r="G14" s="125" t="s">
        <v>394</v>
      </c>
      <c r="H14" s="128" t="s">
        <v>433</v>
      </c>
      <c r="I14" s="147"/>
      <c r="J14" s="147"/>
      <c r="K14" s="147"/>
      <c r="L14" s="147"/>
      <c r="M14" s="30"/>
    </row>
    <row r="15" spans="1:14" ht="14">
      <c r="A15" s="122" t="s">
        <v>233</v>
      </c>
      <c r="B15" s="294">
        <f>SUM(B16:B23)</f>
        <v>5352618</v>
      </c>
      <c r="C15" s="294">
        <f>SUM(C16:C23)</f>
        <v>5339681</v>
      </c>
      <c r="D15" s="294">
        <f>SUM(D16:D23)</f>
        <v>5131350</v>
      </c>
      <c r="E15" s="134" t="s">
        <v>197</v>
      </c>
      <c r="F15" s="294">
        <f>SUM(F16:F23)</f>
        <v>2584539</v>
      </c>
      <c r="G15" s="294">
        <f>SUM(G16:G23)</f>
        <v>2589586</v>
      </c>
      <c r="H15" s="294">
        <f>SUM(H16:H23)</f>
        <v>2610125</v>
      </c>
      <c r="I15" s="140">
        <f>+D15-C15</f>
        <v>-208331</v>
      </c>
      <c r="J15" s="140">
        <f>+C15-B15</f>
        <v>-12937</v>
      </c>
      <c r="K15" s="140">
        <f>+H15-G15</f>
        <v>20539</v>
      </c>
      <c r="L15" s="144">
        <f>+G15-F15</f>
        <v>5047</v>
      </c>
      <c r="M15" s="29"/>
      <c r="N15" s="29"/>
    </row>
    <row r="16" spans="1:14">
      <c r="A16" s="106" t="s">
        <v>32</v>
      </c>
      <c r="B16" s="295">
        <f>3471283+311320-13200</f>
        <v>3769403</v>
      </c>
      <c r="C16" s="295">
        <f>3471283+311320+182466-16195</f>
        <v>3948874</v>
      </c>
      <c r="D16" s="295">
        <f>3471283+311320+182466+35940</f>
        <v>4001009</v>
      </c>
      <c r="E16" s="108" t="s">
        <v>243</v>
      </c>
      <c r="F16" s="295">
        <v>650000</v>
      </c>
      <c r="G16" s="295">
        <v>650000</v>
      </c>
      <c r="H16" s="295">
        <v>650000</v>
      </c>
      <c r="I16" s="112"/>
      <c r="J16" s="112"/>
      <c r="K16" s="112"/>
      <c r="L16" s="145"/>
      <c r="M16" s="29"/>
      <c r="N16" s="29"/>
    </row>
    <row r="17" spans="1:14">
      <c r="A17" s="106" t="s">
        <v>266</v>
      </c>
      <c r="B17" s="295">
        <f>-311320+13200</f>
        <v>-298120</v>
      </c>
      <c r="C17" s="296">
        <f>-115742-311320+16195</f>
        <v>-410867</v>
      </c>
      <c r="D17" s="296">
        <f>-115742-311320-119019</f>
        <v>-546081</v>
      </c>
      <c r="E17" s="108" t="s">
        <v>162</v>
      </c>
      <c r="F17" s="295">
        <v>331495</v>
      </c>
      <c r="G17" s="295">
        <v>331495</v>
      </c>
      <c r="H17" s="295">
        <v>331495</v>
      </c>
      <c r="I17" s="112"/>
      <c r="J17" s="112"/>
      <c r="K17" s="112"/>
      <c r="L17" s="145"/>
      <c r="M17" s="29"/>
      <c r="N17" s="29"/>
    </row>
    <row r="18" spans="1:14">
      <c r="A18" s="106" t="s">
        <v>33</v>
      </c>
      <c r="B18" s="295">
        <f>81332+4122357</f>
        <v>4203689</v>
      </c>
      <c r="C18" s="296">
        <f>4203689+70089</f>
        <v>4273778</v>
      </c>
      <c r="D18" s="296">
        <f>4203689+70089+15332</f>
        <v>4289110</v>
      </c>
      <c r="E18" s="108" t="s">
        <v>163</v>
      </c>
      <c r="F18" s="295">
        <v>1587565</v>
      </c>
      <c r="G18" s="295">
        <v>1587565</v>
      </c>
      <c r="H18" s="295">
        <v>1587565</v>
      </c>
      <c r="I18" s="112"/>
      <c r="J18" s="112"/>
      <c r="K18" s="112"/>
      <c r="L18" s="145"/>
      <c r="M18" s="29"/>
      <c r="N18" s="29"/>
    </row>
    <row r="19" spans="1:14">
      <c r="A19" s="106" t="s">
        <v>266</v>
      </c>
      <c r="B19" s="295">
        <v>-2459718</v>
      </c>
      <c r="C19" s="296">
        <f>-127253-2459718</f>
        <v>-2586971</v>
      </c>
      <c r="D19" s="296">
        <f>-127253-2459718-130534</f>
        <v>-2717505</v>
      </c>
      <c r="E19" s="108" t="s">
        <v>166</v>
      </c>
      <c r="F19" s="295">
        <v>85258</v>
      </c>
      <c r="G19" s="295">
        <v>89993</v>
      </c>
      <c r="H19" s="295">
        <v>90246</v>
      </c>
      <c r="I19" s="112"/>
      <c r="J19" s="112"/>
      <c r="K19" s="112"/>
      <c r="L19" s="145"/>
      <c r="M19" s="29"/>
      <c r="N19" s="29"/>
    </row>
    <row r="20" spans="1:14">
      <c r="A20" s="106" t="s">
        <v>35</v>
      </c>
      <c r="B20" s="295">
        <f>4323+438517</f>
        <v>442840</v>
      </c>
      <c r="C20" s="296">
        <f>442840+6962</f>
        <v>449802</v>
      </c>
      <c r="D20" s="296">
        <f>442840+6962+5614</f>
        <v>455416</v>
      </c>
      <c r="E20" s="108" t="s">
        <v>164</v>
      </c>
      <c r="F20" s="295">
        <v>71657</v>
      </c>
      <c r="G20" s="295">
        <v>71657</v>
      </c>
      <c r="H20" s="295">
        <v>74063</v>
      </c>
      <c r="I20" s="112"/>
      <c r="J20" s="112"/>
      <c r="K20" s="112"/>
      <c r="L20" s="145"/>
      <c r="M20" s="29"/>
      <c r="N20" s="29"/>
    </row>
    <row r="21" spans="1:14">
      <c r="A21" s="106" t="s">
        <v>266</v>
      </c>
      <c r="B21" s="295">
        <v>-323106</v>
      </c>
      <c r="C21" s="297">
        <f>-323106-22617</f>
        <v>-345723</v>
      </c>
      <c r="D21" s="297">
        <f>-323106-22617-19234</f>
        <v>-364957</v>
      </c>
      <c r="E21" s="108" t="s">
        <v>165</v>
      </c>
      <c r="F21" s="295">
        <v>-236155</v>
      </c>
      <c r="G21" s="295">
        <v>-146172</v>
      </c>
      <c r="H21" s="295">
        <v>-143782</v>
      </c>
      <c r="I21" s="112"/>
      <c r="J21" s="112"/>
      <c r="K21" s="112"/>
      <c r="L21" s="145"/>
      <c r="M21" s="29"/>
      <c r="N21" s="29"/>
    </row>
    <row r="22" spans="1:14">
      <c r="A22" s="106" t="s">
        <v>34</v>
      </c>
      <c r="B22" s="295">
        <f>528+27589</f>
        <v>28117</v>
      </c>
      <c r="C22" s="295">
        <f>527+27589</f>
        <v>28116</v>
      </c>
      <c r="D22" s="295">
        <f>527+27589+13891-5232</f>
        <v>36775</v>
      </c>
      <c r="E22" s="108" t="s">
        <v>202</v>
      </c>
      <c r="F22" s="295">
        <v>94719</v>
      </c>
      <c r="G22" s="295">
        <v>5048</v>
      </c>
      <c r="H22" s="295">
        <v>20538</v>
      </c>
      <c r="I22" s="112"/>
      <c r="J22" s="112"/>
      <c r="K22" s="112"/>
      <c r="L22" s="145"/>
      <c r="M22" s="29"/>
      <c r="N22" s="29"/>
    </row>
    <row r="23" spans="1:14">
      <c r="A23" s="108" t="s">
        <v>266</v>
      </c>
      <c r="B23" s="517">
        <v>-10487</v>
      </c>
      <c r="C23" s="295">
        <f>-10487-6841</f>
        <v>-17328</v>
      </c>
      <c r="D23" s="295">
        <f>-10487-6841-5089</f>
        <v>-22417</v>
      </c>
      <c r="E23" s="108"/>
      <c r="F23" s="295"/>
      <c r="G23" s="295"/>
      <c r="H23" s="295"/>
      <c r="I23" s="112"/>
      <c r="J23" s="112"/>
      <c r="K23" s="112"/>
      <c r="L23" s="145"/>
      <c r="M23" s="29"/>
      <c r="N23" s="29"/>
    </row>
    <row r="24" spans="1:14" ht="14">
      <c r="A24" s="814" t="s">
        <v>242</v>
      </c>
      <c r="B24" s="816">
        <f>SUM(B25:B37)</f>
        <v>72358</v>
      </c>
      <c r="C24" s="815">
        <f>SUM(C25:C37)</f>
        <v>66267</v>
      </c>
      <c r="D24" s="815">
        <f>SUM(D25:D37)</f>
        <v>46089</v>
      </c>
      <c r="E24" s="814" t="s">
        <v>131</v>
      </c>
      <c r="F24" s="815">
        <f>SUM(F25:F40)</f>
        <v>307405</v>
      </c>
      <c r="G24" s="815">
        <f>SUM(G25:G40)</f>
        <v>332982</v>
      </c>
      <c r="H24" s="815">
        <f>SUM(H25:H40)</f>
        <v>372166</v>
      </c>
      <c r="I24" s="133">
        <f>+D24-C24</f>
        <v>-20178</v>
      </c>
      <c r="J24" s="133">
        <f>+C24-B24</f>
        <v>-6091</v>
      </c>
      <c r="K24" s="112">
        <f>+H24-G24</f>
        <v>39184</v>
      </c>
      <c r="L24" s="145">
        <f>+G24-F24</f>
        <v>25577</v>
      </c>
      <c r="M24" s="29"/>
      <c r="N24" s="29"/>
    </row>
    <row r="25" spans="1:14" ht="16">
      <c r="A25" s="108" t="s">
        <v>26</v>
      </c>
      <c r="B25" s="296">
        <v>9148</v>
      </c>
      <c r="C25" s="295">
        <v>9148</v>
      </c>
      <c r="D25" s="295">
        <v>8410</v>
      </c>
      <c r="E25" s="108" t="s">
        <v>167</v>
      </c>
      <c r="F25" s="295">
        <v>22232</v>
      </c>
      <c r="G25" s="295">
        <v>24647</v>
      </c>
      <c r="H25" s="295">
        <v>26428</v>
      </c>
      <c r="I25" s="132"/>
      <c r="J25" s="132"/>
      <c r="K25" s="133">
        <f>+H25-G25</f>
        <v>1781</v>
      </c>
      <c r="L25" s="145"/>
      <c r="M25" s="29"/>
      <c r="N25" s="29"/>
    </row>
    <row r="26" spans="1:14" ht="16">
      <c r="A26" s="108" t="s">
        <v>31</v>
      </c>
      <c r="B26" s="296"/>
      <c r="C26" s="295">
        <v>-738</v>
      </c>
      <c r="D26" s="295">
        <v>-738</v>
      </c>
      <c r="E26" s="108" t="s">
        <v>168</v>
      </c>
      <c r="F26" s="295">
        <v>285173</v>
      </c>
      <c r="G26" s="295">
        <v>308335</v>
      </c>
      <c r="H26" s="295">
        <v>345738</v>
      </c>
      <c r="I26" s="132"/>
      <c r="J26" s="132"/>
      <c r="K26" s="112">
        <f>+H26-G26</f>
        <v>37403</v>
      </c>
      <c r="L26" s="145"/>
      <c r="M26" s="29"/>
      <c r="N26" s="29"/>
    </row>
    <row r="27" spans="1:14" ht="16">
      <c r="A27" s="108" t="s">
        <v>27</v>
      </c>
      <c r="B27" s="296"/>
      <c r="C27" s="296"/>
      <c r="D27" s="296"/>
      <c r="E27" s="108"/>
      <c r="F27" s="295"/>
      <c r="G27" s="295"/>
      <c r="H27" s="295"/>
      <c r="I27" s="108"/>
      <c r="J27" s="108"/>
      <c r="K27" s="132"/>
      <c r="L27" s="145"/>
      <c r="M27" s="29"/>
      <c r="N27" s="29"/>
    </row>
    <row r="28" spans="1:14">
      <c r="A28" s="108" t="s">
        <v>31</v>
      </c>
      <c r="B28" s="296"/>
      <c r="C28" s="296"/>
      <c r="D28" s="296"/>
      <c r="E28" s="108"/>
      <c r="F28" s="295"/>
      <c r="G28" s="295"/>
      <c r="H28" s="295"/>
      <c r="I28" s="108"/>
      <c r="J28" s="108"/>
      <c r="K28" s="108"/>
      <c r="L28" s="145"/>
      <c r="M28" s="29"/>
      <c r="N28" s="29"/>
    </row>
    <row r="29" spans="1:14">
      <c r="A29" s="108" t="s">
        <v>28</v>
      </c>
      <c r="B29" s="296">
        <v>9773</v>
      </c>
      <c r="C29" s="296">
        <f>9773+15420</f>
        <v>25193</v>
      </c>
      <c r="D29" s="296">
        <f>1890+14162</f>
        <v>16052</v>
      </c>
      <c r="E29" s="108"/>
      <c r="F29" s="295"/>
      <c r="G29" s="295"/>
      <c r="H29" s="295"/>
      <c r="I29" s="108"/>
      <c r="J29" s="108"/>
      <c r="K29" s="108"/>
      <c r="L29" s="145"/>
      <c r="M29" s="29"/>
      <c r="N29" s="29"/>
    </row>
    <row r="30" spans="1:14">
      <c r="A30" s="108" t="s">
        <v>31</v>
      </c>
      <c r="B30" s="296"/>
      <c r="C30" s="296">
        <v>-11031</v>
      </c>
      <c r="D30" s="296">
        <v>-9649</v>
      </c>
      <c r="E30" s="108"/>
      <c r="F30" s="295"/>
      <c r="G30" s="295"/>
      <c r="H30" s="295"/>
      <c r="I30" s="108"/>
      <c r="J30" s="108"/>
      <c r="K30" s="112"/>
      <c r="L30" s="145"/>
      <c r="M30" s="29"/>
      <c r="N30" s="29"/>
    </row>
    <row r="31" spans="1:14">
      <c r="A31" s="108" t="s">
        <v>29</v>
      </c>
      <c r="B31" s="296">
        <v>9956</v>
      </c>
      <c r="C31" s="296">
        <f>9956+3921</f>
        <v>13877</v>
      </c>
      <c r="D31" s="296">
        <f>1111+11760</f>
        <v>12871</v>
      </c>
      <c r="E31" s="108"/>
      <c r="F31" s="295"/>
      <c r="G31" s="295"/>
      <c r="H31" s="295"/>
      <c r="I31" s="108"/>
      <c r="J31" s="108"/>
      <c r="K31" s="112"/>
      <c r="L31" s="145"/>
      <c r="M31" s="29"/>
      <c r="N31" s="29"/>
    </row>
    <row r="32" spans="1:14">
      <c r="A32" s="108" t="s">
        <v>31</v>
      </c>
      <c r="B32" s="296"/>
      <c r="C32" s="296">
        <v>-2117</v>
      </c>
      <c r="D32" s="296">
        <v>-2055</v>
      </c>
      <c r="E32" s="108"/>
      <c r="F32" s="295"/>
      <c r="G32" s="295"/>
      <c r="H32" s="295"/>
      <c r="I32" s="108"/>
      <c r="J32" s="108"/>
      <c r="K32" s="108"/>
      <c r="L32" s="145"/>
      <c r="M32" s="29"/>
      <c r="N32" s="29"/>
    </row>
    <row r="33" spans="1:14">
      <c r="A33" s="108" t="s">
        <v>80</v>
      </c>
      <c r="B33" s="296">
        <v>2080</v>
      </c>
      <c r="C33" s="296">
        <f>2080+2080</f>
        <v>4160</v>
      </c>
      <c r="D33" s="296">
        <f>5548+4160</f>
        <v>9708</v>
      </c>
      <c r="E33" s="108"/>
      <c r="F33" s="295"/>
      <c r="G33" s="295"/>
      <c r="H33" s="295"/>
      <c r="I33" s="108"/>
      <c r="J33" s="108"/>
      <c r="K33" s="108"/>
      <c r="L33" s="145"/>
      <c r="M33" s="29"/>
      <c r="N33" s="29"/>
    </row>
    <row r="34" spans="1:14">
      <c r="A34" s="108" t="s">
        <v>31</v>
      </c>
      <c r="B34" s="296"/>
      <c r="C34" s="296"/>
      <c r="D34" s="296"/>
      <c r="E34" s="108"/>
      <c r="F34" s="295"/>
      <c r="G34" s="295"/>
      <c r="H34" s="295"/>
      <c r="I34" s="108"/>
      <c r="J34" s="108"/>
      <c r="K34" s="108"/>
      <c r="L34" s="145"/>
      <c r="M34" s="29"/>
      <c r="N34" s="29"/>
    </row>
    <row r="35" spans="1:14">
      <c r="A35" s="108" t="s">
        <v>30</v>
      </c>
      <c r="B35" s="296">
        <v>41401</v>
      </c>
      <c r="C35" s="296">
        <f>7422+41401</f>
        <v>48823</v>
      </c>
      <c r="D35" s="296">
        <f>2699+27775</f>
        <v>30474</v>
      </c>
      <c r="E35" s="108"/>
      <c r="F35" s="295"/>
      <c r="G35" s="295"/>
      <c r="H35" s="295"/>
      <c r="I35" s="108"/>
      <c r="J35" s="108"/>
      <c r="K35" s="112"/>
      <c r="L35" s="145"/>
      <c r="M35" s="29"/>
      <c r="N35" s="29"/>
    </row>
    <row r="36" spans="1:14">
      <c r="A36" s="108" t="s">
        <v>31</v>
      </c>
      <c r="B36" s="296"/>
      <c r="C36" s="296">
        <v>-21048</v>
      </c>
      <c r="D36" s="296">
        <v>-18984</v>
      </c>
      <c r="E36" s="108"/>
      <c r="F36" s="295"/>
      <c r="G36" s="295"/>
      <c r="H36" s="295"/>
      <c r="I36" s="108"/>
      <c r="J36" s="108"/>
      <c r="K36" s="112"/>
      <c r="L36" s="145"/>
      <c r="M36" s="29"/>
      <c r="N36" s="29"/>
    </row>
    <row r="37" spans="1:14">
      <c r="A37" s="108"/>
      <c r="B37" s="296"/>
      <c r="C37" s="296"/>
      <c r="D37" s="296"/>
      <c r="E37" s="108"/>
      <c r="F37" s="295"/>
      <c r="G37" s="295"/>
      <c r="H37" s="295"/>
      <c r="I37" s="108"/>
      <c r="J37" s="108"/>
      <c r="K37" s="112"/>
      <c r="L37" s="145"/>
      <c r="M37" s="29"/>
      <c r="N37" s="29"/>
    </row>
    <row r="38" spans="1:14" ht="14">
      <c r="A38" s="814" t="s">
        <v>248</v>
      </c>
      <c r="B38" s="299">
        <f>SUM(B39:B44)</f>
        <v>12361</v>
      </c>
      <c r="C38" s="299">
        <f>SUM(C39:C44)</f>
        <v>16625</v>
      </c>
      <c r="D38" s="299">
        <f>SUM(D39:D44)</f>
        <v>20943</v>
      </c>
      <c r="E38" s="108"/>
      <c r="F38" s="295"/>
      <c r="G38" s="295"/>
      <c r="H38" s="295"/>
      <c r="I38" s="133">
        <f>+D38-C38</f>
        <v>4318</v>
      </c>
      <c r="J38" s="133">
        <f>+C38-B38</f>
        <v>4264</v>
      </c>
      <c r="K38" s="112"/>
      <c r="L38" s="108"/>
      <c r="M38" s="29"/>
      <c r="N38" s="29"/>
    </row>
    <row r="39" spans="1:14">
      <c r="A39" s="108" t="s">
        <v>229</v>
      </c>
      <c r="B39" s="296">
        <v>72</v>
      </c>
      <c r="C39" s="296">
        <v>72</v>
      </c>
      <c r="D39" s="296">
        <v>72</v>
      </c>
      <c r="E39" s="108"/>
      <c r="F39" s="295"/>
      <c r="G39" s="295"/>
      <c r="H39" s="295"/>
      <c r="I39" s="112"/>
      <c r="J39" s="112"/>
      <c r="K39" s="112"/>
      <c r="L39" s="145"/>
      <c r="M39" s="29"/>
      <c r="N39" s="29"/>
    </row>
    <row r="40" spans="1:14">
      <c r="A40" s="108" t="s">
        <v>151</v>
      </c>
      <c r="B40" s="296">
        <f>-72+3293</f>
        <v>3221</v>
      </c>
      <c r="C40" s="217">
        <v>2874</v>
      </c>
      <c r="D40" s="217">
        <v>2874</v>
      </c>
      <c r="E40" s="108"/>
      <c r="F40" s="295"/>
      <c r="G40" s="295"/>
      <c r="H40" s="295"/>
      <c r="I40" s="131"/>
      <c r="J40" s="131"/>
      <c r="K40" s="112"/>
      <c r="L40" s="145"/>
      <c r="M40" s="29"/>
      <c r="N40" s="29"/>
    </row>
    <row r="41" spans="1:14" ht="13">
      <c r="A41" s="108" t="s">
        <v>158</v>
      </c>
      <c r="B41" s="217">
        <v>9068</v>
      </c>
      <c r="C41" s="217">
        <v>13679</v>
      </c>
      <c r="D41" s="217">
        <v>17997</v>
      </c>
      <c r="E41" s="135" t="s">
        <v>292</v>
      </c>
      <c r="F41" s="305">
        <f>SUM(F42:F43)</f>
        <v>2201006</v>
      </c>
      <c r="G41" s="305">
        <f>SUM(G42:G43)</f>
        <v>2200012</v>
      </c>
      <c r="H41" s="305">
        <f>SUM(H42:H43)</f>
        <v>1960835</v>
      </c>
      <c r="I41" s="131"/>
      <c r="J41" s="131"/>
      <c r="K41" s="112">
        <f>+H41-G41</f>
        <v>-239177</v>
      </c>
      <c r="L41" s="145">
        <f>+G41-F41</f>
        <v>-994</v>
      </c>
      <c r="M41" s="29"/>
      <c r="N41" s="29"/>
    </row>
    <row r="42" spans="1:14">
      <c r="A42" s="108" t="s">
        <v>72</v>
      </c>
      <c r="B42" s="296"/>
      <c r="C42" s="296"/>
      <c r="D42" s="296"/>
      <c r="E42" s="108" t="s">
        <v>249</v>
      </c>
      <c r="F42" s="295">
        <f>746326+1454680</f>
        <v>2201006</v>
      </c>
      <c r="G42" s="295">
        <f>1275412+924600</f>
        <v>2200012</v>
      </c>
      <c r="H42" s="295">
        <f>884670+1076165</f>
        <v>1960835</v>
      </c>
      <c r="I42" s="108"/>
      <c r="J42" s="108"/>
      <c r="K42" s="112"/>
      <c r="L42" s="145"/>
      <c r="M42" s="29"/>
      <c r="N42" s="29"/>
    </row>
    <row r="43" spans="1:14">
      <c r="A43" s="108" t="s">
        <v>73</v>
      </c>
      <c r="B43" s="296"/>
      <c r="C43" s="296"/>
      <c r="D43" s="296"/>
      <c r="E43" s="108"/>
      <c r="F43" s="295"/>
      <c r="G43" s="295"/>
      <c r="H43" s="295"/>
      <c r="I43" s="131"/>
      <c r="J43" s="131"/>
      <c r="K43" s="112"/>
      <c r="L43" s="145"/>
      <c r="M43" s="29"/>
      <c r="N43" s="29"/>
    </row>
    <row r="44" spans="1:14">
      <c r="A44" s="108" t="s">
        <v>74</v>
      </c>
      <c r="B44" s="296"/>
      <c r="C44" s="296"/>
      <c r="D44" s="296"/>
      <c r="E44" s="108"/>
      <c r="F44" s="295"/>
      <c r="G44" s="295"/>
      <c r="H44" s="295"/>
      <c r="I44" s="131"/>
      <c r="J44" s="131"/>
      <c r="K44" s="112"/>
      <c r="L44" s="145"/>
      <c r="M44" s="29"/>
      <c r="N44" s="29"/>
    </row>
    <row r="45" spans="1:14" ht="41" customHeight="1">
      <c r="A45" s="818" t="s">
        <v>76</v>
      </c>
      <c r="B45" s="301">
        <f>+B15+B24+B38</f>
        <v>5437337</v>
      </c>
      <c r="C45" s="301">
        <f>+C15+C24+C38</f>
        <v>5422573</v>
      </c>
      <c r="D45" s="301">
        <f>+D15+D24+D38</f>
        <v>5198382</v>
      </c>
      <c r="E45" s="136" t="s">
        <v>133</v>
      </c>
      <c r="F45" s="300">
        <f>+F41+F24+F15</f>
        <v>5092950</v>
      </c>
      <c r="G45" s="300">
        <f>+G41+G24+G15</f>
        <v>5122580</v>
      </c>
      <c r="H45" s="300">
        <f>+H41+H24+H15</f>
        <v>4943126</v>
      </c>
      <c r="I45" s="141"/>
      <c r="J45" s="141"/>
      <c r="K45" s="112"/>
      <c r="L45" s="145"/>
      <c r="M45" s="29"/>
      <c r="N45" s="29"/>
    </row>
    <row r="46" spans="1:14" ht="13">
      <c r="A46" s="108"/>
      <c r="B46" s="217"/>
      <c r="C46" s="217"/>
      <c r="D46" s="217"/>
      <c r="E46" s="108"/>
      <c r="F46" s="295"/>
      <c r="G46" s="295"/>
      <c r="H46" s="295"/>
      <c r="I46" s="142"/>
      <c r="J46" s="142"/>
      <c r="K46" s="112"/>
      <c r="L46" s="145"/>
      <c r="M46" s="29"/>
      <c r="N46" s="29"/>
    </row>
    <row r="47" spans="1:14" ht="14">
      <c r="A47" s="137" t="s">
        <v>275</v>
      </c>
      <c r="B47" s="299">
        <f>SUM(B48:B49)</f>
        <v>1206331</v>
      </c>
      <c r="C47" s="298">
        <f>SUM(C48:C49)</f>
        <v>1292884</v>
      </c>
      <c r="D47" s="298">
        <f>SUM(D48:D49)</f>
        <v>1374930</v>
      </c>
      <c r="E47" s="135" t="s">
        <v>134</v>
      </c>
      <c r="F47" s="305">
        <f>SUM(F48:F60)</f>
        <v>3622211</v>
      </c>
      <c r="G47" s="305">
        <f>SUM(G48:G60)</f>
        <v>4004204</v>
      </c>
      <c r="H47" s="305">
        <f>SUM(H48:H60)</f>
        <v>3853064</v>
      </c>
      <c r="I47" s="133">
        <f>+D47-C47</f>
        <v>82046</v>
      </c>
      <c r="J47" s="133">
        <f>+C47-B47</f>
        <v>86553</v>
      </c>
      <c r="K47" s="112">
        <f t="shared" ref="K47:K53" si="0">+H47-G47</f>
        <v>-151140</v>
      </c>
      <c r="L47" s="145">
        <f t="shared" ref="L47:L53" si="1">+G47-F47</f>
        <v>381993</v>
      </c>
      <c r="M47" s="29"/>
      <c r="N47" s="29"/>
    </row>
    <row r="48" spans="1:14" ht="13">
      <c r="A48" s="108" t="s">
        <v>72</v>
      </c>
      <c r="B48" s="357">
        <v>1206331</v>
      </c>
      <c r="C48" s="296">
        <v>1292884</v>
      </c>
      <c r="D48" s="296">
        <v>1374930</v>
      </c>
      <c r="E48" s="108" t="s">
        <v>81</v>
      </c>
      <c r="F48" s="357">
        <v>2259399</v>
      </c>
      <c r="G48" s="295">
        <v>2758384</v>
      </c>
      <c r="H48" s="295">
        <v>2600999</v>
      </c>
      <c r="I48" s="143"/>
      <c r="J48" s="143"/>
      <c r="K48" s="112">
        <f t="shared" si="0"/>
        <v>-157385</v>
      </c>
      <c r="L48" s="145">
        <f t="shared" si="1"/>
        <v>498985</v>
      </c>
      <c r="M48" s="29"/>
      <c r="N48" s="29"/>
    </row>
    <row r="49" spans="1:14" ht="13">
      <c r="A49" s="108" t="s">
        <v>203</v>
      </c>
      <c r="B49" s="296"/>
      <c r="C49" s="296"/>
      <c r="D49" s="296"/>
      <c r="E49" s="108" t="s">
        <v>170</v>
      </c>
      <c r="F49" s="357">
        <v>16607</v>
      </c>
      <c r="G49" s="295">
        <v>9515</v>
      </c>
      <c r="H49" s="295">
        <v>6371</v>
      </c>
      <c r="I49" s="143"/>
      <c r="J49" s="143"/>
      <c r="K49" s="112">
        <f t="shared" si="0"/>
        <v>-3144</v>
      </c>
      <c r="L49" s="145">
        <f t="shared" si="1"/>
        <v>-7092</v>
      </c>
      <c r="M49" s="29"/>
      <c r="N49" s="29"/>
    </row>
    <row r="50" spans="1:14" ht="14">
      <c r="A50" s="137" t="s">
        <v>284</v>
      </c>
      <c r="B50" s="299">
        <f>SUM(B51:B55)</f>
        <v>330803</v>
      </c>
      <c r="C50" s="298">
        <f>SUM(C51:C55)</f>
        <v>482959</v>
      </c>
      <c r="D50" s="298">
        <f>SUM(D51:D55)</f>
        <v>496422</v>
      </c>
      <c r="E50" s="108" t="s">
        <v>143</v>
      </c>
      <c r="F50" s="357">
        <v>79415</v>
      </c>
      <c r="G50" s="90">
        <v>61122</v>
      </c>
      <c r="H50" s="295">
        <v>44072</v>
      </c>
      <c r="I50" s="133">
        <f>+D50-C50</f>
        <v>13463</v>
      </c>
      <c r="J50" s="133">
        <f>+C50-B50</f>
        <v>152156</v>
      </c>
      <c r="K50" s="112">
        <f t="shared" si="0"/>
        <v>-17050</v>
      </c>
      <c r="L50" s="145">
        <f t="shared" si="1"/>
        <v>-18293</v>
      </c>
      <c r="M50" s="29"/>
      <c r="N50" s="29"/>
    </row>
    <row r="51" spans="1:14" ht="14">
      <c r="A51" s="108" t="s">
        <v>75</v>
      </c>
      <c r="B51" s="357">
        <v>80391</v>
      </c>
      <c r="C51" s="296">
        <v>104475</v>
      </c>
      <c r="D51" s="296">
        <v>128166</v>
      </c>
      <c r="E51" s="108" t="s">
        <v>36</v>
      </c>
      <c r="F51" s="295">
        <v>44569</v>
      </c>
      <c r="G51" s="295">
        <v>46323</v>
      </c>
      <c r="H51" s="295">
        <v>39659</v>
      </c>
      <c r="I51" s="133">
        <f>+D51-C51</f>
        <v>23691</v>
      </c>
      <c r="J51" s="133">
        <f>+C51-B51</f>
        <v>24084</v>
      </c>
      <c r="K51" s="112">
        <f t="shared" si="0"/>
        <v>-6664</v>
      </c>
      <c r="L51" s="145">
        <f t="shared" si="1"/>
        <v>1754</v>
      </c>
      <c r="M51" s="29"/>
      <c r="N51" s="29">
        <f>+SUM(K49:K52)</f>
        <v>-26171</v>
      </c>
    </row>
    <row r="52" spans="1:14" ht="14">
      <c r="A52" s="108" t="s">
        <v>156</v>
      </c>
      <c r="B52" s="296">
        <v>200241</v>
      </c>
      <c r="C52" s="296">
        <v>311766</v>
      </c>
      <c r="D52" s="296">
        <v>298016</v>
      </c>
      <c r="E52" s="108" t="s">
        <v>37</v>
      </c>
      <c r="F52" s="295">
        <v>101575</v>
      </c>
      <c r="G52" s="295">
        <v>56947</v>
      </c>
      <c r="H52" s="295">
        <v>57634</v>
      </c>
      <c r="I52" s="133">
        <f>+D52-C52</f>
        <v>-13750</v>
      </c>
      <c r="J52" s="133">
        <f>+C52-B52</f>
        <v>111525</v>
      </c>
      <c r="K52" s="112">
        <f t="shared" si="0"/>
        <v>687</v>
      </c>
      <c r="L52" s="145">
        <f t="shared" si="1"/>
        <v>-44628</v>
      </c>
      <c r="M52" s="29"/>
      <c r="N52" s="29">
        <f>-I54</f>
        <v>-10533</v>
      </c>
    </row>
    <row r="53" spans="1:14" ht="14">
      <c r="A53" s="108" t="s">
        <v>157</v>
      </c>
      <c r="B53" s="296">
        <v>14255</v>
      </c>
      <c r="C53" s="296">
        <v>26350</v>
      </c>
      <c r="D53" s="296">
        <v>26942</v>
      </c>
      <c r="E53" s="108" t="s">
        <v>159</v>
      </c>
      <c r="F53" s="295">
        <f>2+1120644</f>
        <v>1120646</v>
      </c>
      <c r="G53" s="295">
        <v>1071913</v>
      </c>
      <c r="H53" s="295">
        <v>1104329</v>
      </c>
      <c r="I53" s="133">
        <f>+D53-C53</f>
        <v>592</v>
      </c>
      <c r="J53" s="133">
        <f>+C53-B53</f>
        <v>12095</v>
      </c>
      <c r="K53" s="112">
        <f t="shared" si="0"/>
        <v>32416</v>
      </c>
      <c r="L53" s="145">
        <f t="shared" si="1"/>
        <v>-48733</v>
      </c>
      <c r="M53" s="29"/>
      <c r="N53" s="29">
        <f>-'rendiconto OIC'!D15</f>
        <v>-50046</v>
      </c>
    </row>
    <row r="54" spans="1:14" ht="13">
      <c r="A54" s="108"/>
      <c r="B54" s="296"/>
      <c r="C54" s="296"/>
      <c r="D54" s="296"/>
      <c r="E54" s="108"/>
      <c r="F54" s="295"/>
      <c r="G54" s="295"/>
      <c r="H54" s="295"/>
      <c r="I54" s="537">
        <f>SUM(I51:I53)</f>
        <v>10533</v>
      </c>
      <c r="J54" s="537">
        <f>SUM(J51:J53)</f>
        <v>147704</v>
      </c>
      <c r="K54" s="112"/>
      <c r="L54" s="145"/>
      <c r="M54" s="29"/>
      <c r="N54" s="29">
        <f>SUM(N51:N53)</f>
        <v>-86750</v>
      </c>
    </row>
    <row r="55" spans="1:14" ht="14">
      <c r="A55" s="108" t="s">
        <v>159</v>
      </c>
      <c r="B55" s="296">
        <v>35916</v>
      </c>
      <c r="C55" s="296">
        <v>40368</v>
      </c>
      <c r="D55" s="296">
        <v>43298</v>
      </c>
      <c r="E55" s="108"/>
      <c r="F55" s="295"/>
      <c r="G55" s="295"/>
      <c r="H55" s="295"/>
      <c r="I55" s="133">
        <f>+D55-C55</f>
        <v>2930</v>
      </c>
      <c r="J55" s="133">
        <f>+C55-B55</f>
        <v>4452</v>
      </c>
      <c r="K55" s="112"/>
      <c r="L55" s="145"/>
      <c r="M55" s="29"/>
      <c r="N55" s="29"/>
    </row>
    <row r="56" spans="1:14" ht="14">
      <c r="A56" s="137" t="s">
        <v>183</v>
      </c>
      <c r="B56" s="299">
        <f>SUM(B57:B60)</f>
        <v>2969518</v>
      </c>
      <c r="C56" s="298">
        <f>SUM(C57:C60)</f>
        <v>3283366</v>
      </c>
      <c r="D56" s="298">
        <f>SUM(D57:D60)</f>
        <v>3298965</v>
      </c>
      <c r="E56" s="108"/>
      <c r="F56" s="108"/>
      <c r="G56" s="108"/>
      <c r="H56" s="108"/>
      <c r="I56" s="133">
        <f>+D56-C56</f>
        <v>15599</v>
      </c>
      <c r="J56" s="133">
        <f>+C56-B56</f>
        <v>313848</v>
      </c>
      <c r="K56" s="112"/>
      <c r="L56" s="145"/>
      <c r="M56" s="29"/>
      <c r="N56" s="29"/>
    </row>
    <row r="57" spans="1:14" ht="13">
      <c r="A57" s="108" t="s">
        <v>153</v>
      </c>
      <c r="B57" s="296">
        <v>2302201</v>
      </c>
      <c r="C57" s="295">
        <v>2478948</v>
      </c>
      <c r="D57" s="296">
        <v>2585796</v>
      </c>
      <c r="E57" s="152"/>
      <c r="F57" s="295"/>
      <c r="G57" s="295"/>
      <c r="H57" s="295"/>
      <c r="I57" s="143"/>
      <c r="J57" s="143"/>
      <c r="K57" s="112"/>
      <c r="L57" s="145"/>
      <c r="M57" s="29"/>
      <c r="N57" s="29"/>
    </row>
    <row r="58" spans="1:14" ht="14">
      <c r="A58" s="108" t="s">
        <v>154</v>
      </c>
      <c r="B58" s="296">
        <v>251946</v>
      </c>
      <c r="C58" s="295">
        <v>342342</v>
      </c>
      <c r="D58" s="296">
        <v>270871</v>
      </c>
      <c r="E58" s="108"/>
      <c r="F58" s="295"/>
      <c r="G58" s="295"/>
      <c r="H58" s="295"/>
      <c r="I58" s="133"/>
      <c r="J58" s="133"/>
      <c r="K58" s="112"/>
      <c r="L58" s="145"/>
      <c r="M58" s="29"/>
      <c r="N58" s="29"/>
    </row>
    <row r="59" spans="1:14" ht="14">
      <c r="A59" s="108" t="s">
        <v>155</v>
      </c>
      <c r="B59" s="296">
        <v>6291</v>
      </c>
      <c r="C59" s="295">
        <v>8927</v>
      </c>
      <c r="D59" s="296">
        <v>5551</v>
      </c>
      <c r="E59" s="108"/>
      <c r="F59" s="295"/>
      <c r="G59" s="295"/>
      <c r="H59" s="295"/>
      <c r="I59" s="133"/>
      <c r="J59" s="133"/>
      <c r="K59" s="112"/>
      <c r="L59" s="145"/>
      <c r="M59" s="29"/>
      <c r="N59" s="29"/>
    </row>
    <row r="60" spans="1:14" ht="14">
      <c r="A60" s="108" t="s">
        <v>152</v>
      </c>
      <c r="B60" s="296">
        <v>409080</v>
      </c>
      <c r="C60" s="295">
        <v>453149</v>
      </c>
      <c r="D60" s="296">
        <v>436747</v>
      </c>
      <c r="E60" s="108"/>
      <c r="F60" s="295"/>
      <c r="G60" s="295"/>
      <c r="H60" s="295"/>
      <c r="I60" s="133"/>
      <c r="J60" s="133"/>
      <c r="K60" s="112"/>
      <c r="L60" s="145"/>
      <c r="M60" s="29"/>
      <c r="N60" s="29"/>
    </row>
    <row r="61" spans="1:14" ht="14">
      <c r="A61" s="137" t="s">
        <v>44</v>
      </c>
      <c r="B61" s="299">
        <f>SUM(B62:B64)</f>
        <v>17276</v>
      </c>
      <c r="C61" s="299">
        <f>SUM(C62:C64)</f>
        <v>24574</v>
      </c>
      <c r="D61" s="299">
        <f>SUM(D62:D64)</f>
        <v>9258</v>
      </c>
      <c r="E61" s="137" t="s">
        <v>290</v>
      </c>
      <c r="F61" s="298">
        <f>SUM(F62:F64)</f>
        <v>1246104</v>
      </c>
      <c r="G61" s="298">
        <f>SUM(G62:G64)</f>
        <v>1379572</v>
      </c>
      <c r="H61" s="298">
        <f>SUM(H62:H64)</f>
        <v>1581767</v>
      </c>
      <c r="I61" s="133">
        <f>+D61-C61</f>
        <v>-15316</v>
      </c>
      <c r="J61" s="133">
        <f>+C61-B61</f>
        <v>7298</v>
      </c>
      <c r="K61" s="112"/>
      <c r="L61" s="145"/>
      <c r="M61" s="29"/>
      <c r="N61" s="29"/>
    </row>
    <row r="62" spans="1:14" ht="14">
      <c r="A62" s="108" t="s">
        <v>161</v>
      </c>
      <c r="B62" s="296">
        <v>11570</v>
      </c>
      <c r="C62" s="296">
        <v>19174</v>
      </c>
      <c r="D62" s="296">
        <v>6009</v>
      </c>
      <c r="E62" s="108" t="s">
        <v>169</v>
      </c>
      <c r="F62" s="295">
        <v>746104</v>
      </c>
      <c r="G62" s="295">
        <v>979572</v>
      </c>
      <c r="H62" s="295">
        <v>1281767</v>
      </c>
      <c r="I62" s="133"/>
      <c r="J62" s="133"/>
      <c r="K62" s="112">
        <f>+H61-G61</f>
        <v>202195</v>
      </c>
      <c r="L62" s="145">
        <f>+G61-F61</f>
        <v>133468</v>
      </c>
      <c r="M62" s="29"/>
      <c r="N62" s="29"/>
    </row>
    <row r="63" spans="1:14">
      <c r="A63" s="108" t="s">
        <v>160</v>
      </c>
      <c r="B63" s="296">
        <v>5706</v>
      </c>
      <c r="C63" s="296">
        <v>5400</v>
      </c>
      <c r="D63" s="296">
        <v>3249</v>
      </c>
      <c r="E63" s="108" t="s">
        <v>171</v>
      </c>
      <c r="F63" s="295">
        <v>500000</v>
      </c>
      <c r="G63" s="295">
        <v>400000</v>
      </c>
      <c r="H63" s="295">
        <v>300000</v>
      </c>
      <c r="I63" s="112"/>
      <c r="J63" s="112"/>
      <c r="K63" s="112"/>
      <c r="L63" s="145"/>
      <c r="M63" s="29"/>
      <c r="N63" s="29"/>
    </row>
    <row r="64" spans="1:14">
      <c r="A64" s="108"/>
      <c r="B64" s="296"/>
      <c r="C64" s="296"/>
      <c r="D64" s="296"/>
      <c r="E64" s="108"/>
      <c r="F64" s="295"/>
      <c r="G64" s="295"/>
      <c r="H64" s="295"/>
      <c r="I64" s="112"/>
      <c r="J64" s="112"/>
      <c r="K64" s="112"/>
      <c r="L64" s="145"/>
    </row>
    <row r="65" spans="1:14" ht="30">
      <c r="A65" s="138" t="s">
        <v>180</v>
      </c>
      <c r="B65" s="817">
        <f>+B61+B50+B56+B47</f>
        <v>4523928</v>
      </c>
      <c r="C65" s="302">
        <f>+C61+C50+C56+C47</f>
        <v>5083783</v>
      </c>
      <c r="D65" s="302">
        <f>+D61+D50+D56+D47</f>
        <v>5179575</v>
      </c>
      <c r="E65" s="138" t="s">
        <v>69</v>
      </c>
      <c r="F65" s="302">
        <f>+F47+F61</f>
        <v>4868315</v>
      </c>
      <c r="G65" s="302">
        <f>+G47+G61</f>
        <v>5383776</v>
      </c>
      <c r="H65" s="302">
        <f>+H47+H61</f>
        <v>5434831</v>
      </c>
      <c r="I65" s="129"/>
      <c r="J65" s="129"/>
      <c r="K65" s="112"/>
      <c r="L65" s="145"/>
    </row>
    <row r="66" spans="1:14" ht="14">
      <c r="A66" s="138"/>
      <c r="B66" s="303"/>
      <c r="C66" s="303"/>
      <c r="D66" s="303"/>
      <c r="E66" s="139"/>
      <c r="F66" s="306"/>
      <c r="G66" s="307"/>
      <c r="H66" s="307"/>
      <c r="I66" s="133"/>
      <c r="J66" s="133"/>
      <c r="K66" s="112"/>
      <c r="L66" s="145"/>
    </row>
    <row r="67" spans="1:14" ht="15">
      <c r="A67" s="136" t="s">
        <v>45</v>
      </c>
      <c r="B67" s="301">
        <f>+B61+B56+B50+B47+B45</f>
        <v>9961265</v>
      </c>
      <c r="C67" s="300">
        <f>+C61+C56+C50+C47+C45</f>
        <v>10506356</v>
      </c>
      <c r="D67" s="300">
        <f>+D61+D56+D50+D47+D45</f>
        <v>10377957</v>
      </c>
      <c r="E67" s="136" t="s">
        <v>70</v>
      </c>
      <c r="F67" s="300">
        <f>+F65+F45</f>
        <v>9961265</v>
      </c>
      <c r="G67" s="301">
        <f>+G65+G45</f>
        <v>10506356</v>
      </c>
      <c r="H67" s="301">
        <f>+H65+H45</f>
        <v>10377957</v>
      </c>
      <c r="I67" s="130"/>
      <c r="J67" s="130"/>
      <c r="K67" s="112"/>
      <c r="L67" s="146"/>
    </row>
    <row r="68" spans="1:14" ht="14">
      <c r="A68" s="33"/>
      <c r="B68" s="33"/>
      <c r="C68" s="604"/>
      <c r="D68" s="706"/>
      <c r="E68" s="33"/>
      <c r="F68" s="308">
        <f>+B67-F67</f>
        <v>0</v>
      </c>
      <c r="G68" s="308">
        <f>+C67-G67</f>
        <v>0</v>
      </c>
      <c r="H68" s="308">
        <f>+D67-H67</f>
        <v>0</v>
      </c>
      <c r="I68" s="34"/>
      <c r="J68" s="34"/>
      <c r="K68" s="34"/>
    </row>
    <row r="69" spans="1:14">
      <c r="B69" s="88"/>
      <c r="C69" s="13"/>
      <c r="D69" s="13"/>
      <c r="E69" s="91"/>
      <c r="F69" s="13"/>
      <c r="G69" s="13"/>
      <c r="H69" s="13"/>
      <c r="I69" s="13"/>
      <c r="J69" s="13"/>
      <c r="K69" s="13"/>
    </row>
    <row r="70" spans="1:14" ht="19">
      <c r="B70" s="128" t="s">
        <v>392</v>
      </c>
      <c r="C70" s="125" t="s">
        <v>394</v>
      </c>
      <c r="D70" s="128" t="s">
        <v>433</v>
      </c>
      <c r="E70" s="450">
        <f>+D71*E71*0.5</f>
        <v>234172.48625000005</v>
      </c>
      <c r="F70" s="45" t="s">
        <v>671</v>
      </c>
      <c r="G70" s="13">
        <v>2.2000000000000002</v>
      </c>
      <c r="H70" t="s">
        <v>672</v>
      </c>
      <c r="J70" s="13"/>
      <c r="K70" s="13"/>
    </row>
    <row r="71" spans="1:14">
      <c r="A71" s="148" t="s">
        <v>139</v>
      </c>
      <c r="B71" s="150">
        <f>+B67-(F47)-F24</f>
        <v>6031649</v>
      </c>
      <c r="C71" s="150">
        <f>+C67-(G47)-G24</f>
        <v>6169170</v>
      </c>
      <c r="D71" s="150">
        <f>+D67-(H47)-H24</f>
        <v>6152727</v>
      </c>
      <c r="E71" s="45">
        <f>+G75</f>
        <v>7.6119901386815972E-2</v>
      </c>
      <c r="F71" s="13"/>
      <c r="G71" s="13"/>
      <c r="H71" s="45">
        <v>6.7900000000000002E-2</v>
      </c>
      <c r="I71" s="13"/>
      <c r="J71" s="13"/>
      <c r="K71" s="13"/>
    </row>
    <row r="72" spans="1:14">
      <c r="A72" s="108"/>
      <c r="B72" s="108"/>
      <c r="C72" s="108"/>
      <c r="D72" s="108"/>
      <c r="E72" s="448"/>
      <c r="I72" s="447"/>
    </row>
    <row r="73" spans="1:14">
      <c r="A73" s="449" t="s">
        <v>77</v>
      </c>
      <c r="B73" s="145">
        <f>+F61+F41</f>
        <v>3447110</v>
      </c>
      <c r="C73" s="145">
        <f>+G61+G41</f>
        <v>3579584</v>
      </c>
      <c r="D73" s="145">
        <f>+H61+H41</f>
        <v>3542602</v>
      </c>
      <c r="E73" s="45">
        <f>+D73/D75</f>
        <v>0.5757775373423849</v>
      </c>
      <c r="F73" s="447">
        <f>-D92*(1-50%)</f>
        <v>2.2143187408577087E-2</v>
      </c>
      <c r="G73" s="589">
        <f>+F73*E73</f>
        <v>1.274954991502142E-2</v>
      </c>
      <c r="H73" s="495"/>
    </row>
    <row r="74" spans="1:14">
      <c r="A74" s="108" t="s">
        <v>130</v>
      </c>
      <c r="B74" s="112">
        <f>+F15</f>
        <v>2584539</v>
      </c>
      <c r="C74" s="112">
        <f>+G15</f>
        <v>2589586</v>
      </c>
      <c r="D74" s="112">
        <f>+H15</f>
        <v>2610125</v>
      </c>
      <c r="E74" s="45">
        <f>+D74/D75</f>
        <v>0.4242224626576151</v>
      </c>
      <c r="F74" s="21">
        <f>+G70*6.79%</f>
        <v>0.14938000000000001</v>
      </c>
      <c r="G74" s="589">
        <f>+F74*E74</f>
        <v>6.3370351471794553E-2</v>
      </c>
      <c r="I74" s="675">
        <v>58527</v>
      </c>
    </row>
    <row r="75" spans="1:14">
      <c r="A75" s="108"/>
      <c r="B75" s="145">
        <f>SUM(B73:B74)</f>
        <v>6031649</v>
      </c>
      <c r="C75" s="145">
        <f>SUM(C73:C74)</f>
        <v>6169170</v>
      </c>
      <c r="D75" s="145">
        <f>SUM(D73:D74)</f>
        <v>6152727</v>
      </c>
      <c r="E75" s="93"/>
      <c r="F75" s="453" t="s">
        <v>444</v>
      </c>
      <c r="G75" s="590">
        <f>+G73+G74</f>
        <v>7.6119901386815972E-2</v>
      </c>
    </row>
    <row r="76" spans="1:14">
      <c r="A76" s="108" t="s">
        <v>187</v>
      </c>
      <c r="B76" s="145">
        <f>+B73/B74</f>
        <v>1.3337426906693999</v>
      </c>
      <c r="C76" s="145">
        <f>+C73/C74</f>
        <v>1.3822997189512145</v>
      </c>
      <c r="D76" s="145">
        <f>+D73/D74</f>
        <v>1.3572537713711028</v>
      </c>
      <c r="E76" s="93"/>
    </row>
    <row r="77" spans="1:14">
      <c r="A77" s="108" t="s">
        <v>102</v>
      </c>
      <c r="B77" s="112">
        <f>+B61-F61-F41</f>
        <v>-3429834</v>
      </c>
      <c r="C77" s="112">
        <f>+C61-G61-G41</f>
        <v>-3555010</v>
      </c>
      <c r="D77" s="112">
        <f>+D61-H61-H41</f>
        <v>-3533344</v>
      </c>
      <c r="E77" s="445">
        <f>+D77-C77</f>
        <v>21666</v>
      </c>
      <c r="F77" s="2"/>
      <c r="G77" s="787" t="s">
        <v>255</v>
      </c>
      <c r="H77" s="787"/>
      <c r="I77" s="787"/>
      <c r="J77" s="787"/>
      <c r="K77" s="787"/>
      <c r="L77" s="787"/>
      <c r="M77" s="787"/>
      <c r="N77" s="787"/>
    </row>
    <row r="78" spans="1:14" ht="16" customHeight="1">
      <c r="A78" s="108" t="s">
        <v>244</v>
      </c>
      <c r="B78" s="151">
        <f>+B77/'conto economico va'!H61</f>
        <v>-7.0901987212218058</v>
      </c>
      <c r="C78" s="151">
        <f>+C77/'conto economico va'!E61</f>
        <v>-8.767843930350713</v>
      </c>
      <c r="D78" s="151">
        <f>+D77/'conto economico va'!B61</f>
        <v>-8.2239068249686369</v>
      </c>
      <c r="E78" s="788" t="s">
        <v>178</v>
      </c>
      <c r="F78" s="2">
        <f>+G72*G73</f>
        <v>0</v>
      </c>
      <c r="G78" s="293">
        <v>0.96</v>
      </c>
      <c r="H78" s="293">
        <v>0.98</v>
      </c>
      <c r="I78" s="293">
        <v>1</v>
      </c>
      <c r="J78" s="293">
        <v>1.5</v>
      </c>
      <c r="K78" s="293">
        <v>1.04</v>
      </c>
      <c r="L78" s="293">
        <v>1.06</v>
      </c>
      <c r="M78" s="293">
        <v>1.08</v>
      </c>
      <c r="N78" s="293">
        <v>1.1000000000000001</v>
      </c>
    </row>
    <row r="79" spans="1:14" ht="16">
      <c r="A79" s="108" t="s">
        <v>245</v>
      </c>
      <c r="B79" s="152">
        <f>+'conto economico va'!H68/'Stato patrimoniale'!B71</f>
        <v>2.7521329573388636E-2</v>
      </c>
      <c r="C79" s="152">
        <f>+'conto economico va'!E68/'Stato patrimoniale'!C71</f>
        <v>4.9912711110246593E-3</v>
      </c>
      <c r="D79" s="152">
        <f>+'conto economico va'!B68/'Stato patrimoniale'!D71</f>
        <v>1.9024734885848178E-2</v>
      </c>
      <c r="E79" s="788"/>
      <c r="F79" s="358">
        <v>1.4999999999999999E-2</v>
      </c>
      <c r="G79" s="359">
        <f t="dataTable" ref="G79:N94" dt2D="1" dtr="0" r1="G73" r2="G72"/>
        <v>1.44E-2</v>
      </c>
      <c r="H79" s="359">
        <v>1.47E-2</v>
      </c>
      <c r="I79" s="359">
        <v>1.4999999999999999E-2</v>
      </c>
      <c r="J79" s="359">
        <v>2.2499999999999999E-2</v>
      </c>
      <c r="K79" s="359">
        <v>1.5599999999999999E-2</v>
      </c>
      <c r="L79" s="359">
        <v>1.5900000000000001E-2</v>
      </c>
      <c r="M79" s="359">
        <v>1.6199999999999999E-2</v>
      </c>
      <c r="N79" s="359">
        <v>1.6500000000000001E-2</v>
      </c>
    </row>
    <row r="80" spans="1:14" ht="16">
      <c r="A80" s="108" t="s">
        <v>280</v>
      </c>
      <c r="B80" s="152">
        <f>+'conto economico va'!H88/'Stato patrimoniale'!F15</f>
        <v>3.6648315231459075E-2</v>
      </c>
      <c r="C80" s="152">
        <f>+'conto economico va'!E88/'Stato patrimoniale'!G15</f>
        <v>1.9493463433923415E-3</v>
      </c>
      <c r="D80" s="152">
        <f>+'conto economico va'!B88/'Stato patrimoniale'!D74</f>
        <v>7.8685886691250411E-3</v>
      </c>
      <c r="E80" s="788"/>
      <c r="F80" s="358">
        <v>1.6E-2</v>
      </c>
      <c r="G80" s="359">
        <v>1.536E-2</v>
      </c>
      <c r="H80" s="359">
        <v>1.5679999999999999E-2</v>
      </c>
      <c r="I80" s="359">
        <v>1.6E-2</v>
      </c>
      <c r="J80" s="359">
        <v>2.4E-2</v>
      </c>
      <c r="K80" s="359">
        <v>1.6640000000000002E-2</v>
      </c>
      <c r="L80" s="359">
        <v>1.6960000000000003E-2</v>
      </c>
      <c r="M80" s="359">
        <v>1.728E-2</v>
      </c>
      <c r="N80" s="359">
        <v>1.7600000000000001E-2</v>
      </c>
    </row>
    <row r="81" spans="1:14" ht="16">
      <c r="A81" s="108" t="s">
        <v>269</v>
      </c>
      <c r="B81" s="152">
        <f>+'conto economico va'!J68</f>
        <v>3.1876675695885467E-2</v>
      </c>
      <c r="C81" s="152">
        <f>+'conto economico va'!G68</f>
        <v>5.5440454715436453E-3</v>
      </c>
      <c r="D81" s="152">
        <f>+'conto economico va'!D68</f>
        <v>1.9683441217214024E-2</v>
      </c>
      <c r="E81" s="788"/>
      <c r="F81" s="358">
        <v>1.7000000000000001E-2</v>
      </c>
      <c r="G81" s="359">
        <v>1.6320000000000001E-2</v>
      </c>
      <c r="H81" s="359">
        <v>1.6660000000000001E-2</v>
      </c>
      <c r="I81" s="359">
        <v>1.7000000000000001E-2</v>
      </c>
      <c r="J81" s="359">
        <v>2.5500000000000002E-2</v>
      </c>
      <c r="K81" s="359">
        <v>1.7680000000000001E-2</v>
      </c>
      <c r="L81" s="359">
        <v>1.8020000000000001E-2</v>
      </c>
      <c r="M81" s="359">
        <v>1.8360000000000001E-2</v>
      </c>
      <c r="N81" s="359">
        <v>1.8700000000000001E-2</v>
      </c>
    </row>
    <row r="82" spans="1:14" ht="16">
      <c r="A82" s="108" t="s">
        <v>173</v>
      </c>
      <c r="B82" s="153">
        <f>'conto economico va'!H14/'Stato patrimoniale'!B47</f>
        <v>4.3168400712573911</v>
      </c>
      <c r="C82" s="153">
        <f>'conto economico va'!E14/'Stato patrimoniale'!C47</f>
        <v>4.295874185155049</v>
      </c>
      <c r="D82" s="153">
        <f>'conto economico va'!B14/'Stato patrimoniale'!D47</f>
        <v>4.3251845548500647</v>
      </c>
      <c r="E82" s="788"/>
      <c r="F82" s="358">
        <v>1.7999999999999999E-2</v>
      </c>
      <c r="G82" s="359">
        <v>1.7279999999999997E-2</v>
      </c>
      <c r="H82" s="359">
        <v>1.7639999999999999E-2</v>
      </c>
      <c r="I82" s="359">
        <v>1.7999999999999999E-2</v>
      </c>
      <c r="J82" s="359">
        <v>2.6999999999999996E-2</v>
      </c>
      <c r="K82" s="359">
        <v>1.8720000000000001E-2</v>
      </c>
      <c r="L82" s="359">
        <v>1.908E-2</v>
      </c>
      <c r="M82" s="359">
        <v>1.9439999999999999E-2</v>
      </c>
      <c r="N82" s="359">
        <v>1.9800000000000002E-2</v>
      </c>
    </row>
    <row r="83" spans="1:14" ht="16">
      <c r="A83" s="108" t="s">
        <v>174</v>
      </c>
      <c r="B83" s="145">
        <f>1/B82*360</f>
        <v>83.394333368282673</v>
      </c>
      <c r="C83" s="145">
        <f>1/C82*360</f>
        <v>83.801336930217076</v>
      </c>
      <c r="D83" s="145">
        <f>1/D82*360</f>
        <v>83.233442512022393</v>
      </c>
      <c r="E83" s="788"/>
      <c r="F83" s="358">
        <v>1.9E-2</v>
      </c>
      <c r="G83" s="359">
        <v>1.8239999999999999E-2</v>
      </c>
      <c r="H83" s="359">
        <v>1.8619999999999998E-2</v>
      </c>
      <c r="I83" s="359">
        <v>1.9E-2</v>
      </c>
      <c r="J83" s="359">
        <v>2.8499999999999998E-2</v>
      </c>
      <c r="K83" s="359">
        <v>1.976E-2</v>
      </c>
      <c r="L83" s="359">
        <v>2.0140000000000002E-2</v>
      </c>
      <c r="M83" s="359">
        <v>2.052E-2</v>
      </c>
      <c r="N83" s="359">
        <v>2.0900000000000002E-2</v>
      </c>
    </row>
    <row r="84" spans="1:14" ht="16">
      <c r="A84" s="108" t="s">
        <v>215</v>
      </c>
      <c r="B84" s="145">
        <f>+'conto economico va'!H19/'Stato patrimoniale'!F48</f>
        <v>1.741002363902967</v>
      </c>
      <c r="C84" s="145">
        <f>+'conto economico va'!E19/'Stato patrimoniale'!G48</f>
        <v>1.57294705885765</v>
      </c>
      <c r="D84" s="145">
        <f>+'conto economico va'!B19/'Stato patrimoniale'!H48</f>
        <v>1.798329795590079</v>
      </c>
      <c r="E84" s="788"/>
      <c r="F84" s="358">
        <v>0.02</v>
      </c>
      <c r="G84" s="359">
        <v>1.9199999999999998E-2</v>
      </c>
      <c r="H84" s="359">
        <v>1.9599999999999999E-2</v>
      </c>
      <c r="I84" s="359">
        <v>0.02</v>
      </c>
      <c r="J84" s="359">
        <v>0.03</v>
      </c>
      <c r="K84" s="359">
        <v>2.0800000000000003E-2</v>
      </c>
      <c r="L84" s="359">
        <v>2.12E-2</v>
      </c>
      <c r="M84" s="359">
        <v>2.1600000000000001E-2</v>
      </c>
      <c r="N84" s="359">
        <v>2.2000000000000002E-2</v>
      </c>
    </row>
    <row r="85" spans="1:14" ht="16">
      <c r="A85" s="108" t="s">
        <v>216</v>
      </c>
      <c r="B85" s="145">
        <f>1/B84*360</f>
        <v>206.77743319828386</v>
      </c>
      <c r="C85" s="145">
        <f>1/C84*360</f>
        <v>228.86974992117621</v>
      </c>
      <c r="D85" s="145">
        <f>1/D84*360</f>
        <v>200.18575062416437</v>
      </c>
      <c r="E85" s="788"/>
      <c r="F85" s="358">
        <v>3.5000000000000003E-2</v>
      </c>
      <c r="G85" s="359">
        <v>3.3600000000000005E-2</v>
      </c>
      <c r="H85" s="359">
        <v>3.4300000000000004E-2</v>
      </c>
      <c r="I85" s="359">
        <v>3.5000000000000003E-2</v>
      </c>
      <c r="J85" s="359">
        <v>5.2500000000000005E-2</v>
      </c>
      <c r="K85" s="359">
        <v>3.6400000000000002E-2</v>
      </c>
      <c r="L85" s="359">
        <v>3.7100000000000008E-2</v>
      </c>
      <c r="M85" s="359">
        <v>3.7800000000000007E-2</v>
      </c>
      <c r="N85" s="359">
        <v>3.8500000000000006E-2</v>
      </c>
    </row>
    <row r="86" spans="1:14" ht="16">
      <c r="A86" s="108" t="s">
        <v>267</v>
      </c>
      <c r="B86" s="145">
        <f>'conto economico va'!H14/'Stato patrimoniale'!B56</f>
        <v>1.7536643994075807</v>
      </c>
      <c r="C86" s="145">
        <f>'conto economico va'!E14/'Stato patrimoniale'!C56</f>
        <v>1.6915771802473438</v>
      </c>
      <c r="D86" s="145">
        <f>'conto economico va'!B14/'Stato patrimoniale'!D56</f>
        <v>1.8026338563761664</v>
      </c>
      <c r="E86" s="788"/>
      <c r="F86" s="358">
        <v>2.1999999999999999E-2</v>
      </c>
      <c r="G86" s="359">
        <v>2.1119999999999996E-2</v>
      </c>
      <c r="H86" s="359">
        <v>2.1559999999999999E-2</v>
      </c>
      <c r="I86" s="359">
        <v>2.1999999999999999E-2</v>
      </c>
      <c r="J86" s="359">
        <v>3.3000000000000002E-2</v>
      </c>
      <c r="K86" s="359">
        <v>2.2880000000000001E-2</v>
      </c>
      <c r="L86" s="359">
        <v>2.332E-2</v>
      </c>
      <c r="M86" s="359">
        <v>2.376E-2</v>
      </c>
      <c r="N86" s="359">
        <v>2.4199999999999999E-2</v>
      </c>
    </row>
    <row r="87" spans="1:14" ht="16">
      <c r="A87" s="108" t="s">
        <v>64</v>
      </c>
      <c r="B87" s="145">
        <f>1/B86*360</f>
        <v>205.28443191389098</v>
      </c>
      <c r="C87" s="145">
        <f>1/C86*360</f>
        <v>212.81913956025377</v>
      </c>
      <c r="D87" s="145">
        <f>1/D86*360</f>
        <v>199.7077768880408</v>
      </c>
      <c r="E87" s="788"/>
      <c r="F87" s="358">
        <v>0.05</v>
      </c>
      <c r="G87" s="359">
        <v>4.8000000000000001E-2</v>
      </c>
      <c r="H87" s="359">
        <v>4.9000000000000002E-2</v>
      </c>
      <c r="I87" s="359">
        <v>0.05</v>
      </c>
      <c r="J87" s="359">
        <v>7.5000000000000011E-2</v>
      </c>
      <c r="K87" s="359">
        <v>5.2000000000000005E-2</v>
      </c>
      <c r="L87" s="359">
        <v>5.3000000000000005E-2</v>
      </c>
      <c r="M87" s="359">
        <v>5.4000000000000006E-2</v>
      </c>
      <c r="N87" s="359">
        <v>5.5000000000000007E-2</v>
      </c>
    </row>
    <row r="88" spans="1:14" ht="16">
      <c r="A88" s="108" t="s">
        <v>673</v>
      </c>
      <c r="B88" s="145">
        <f>+B83-B85+B87</f>
        <v>81.901332083889798</v>
      </c>
      <c r="C88" s="145">
        <f>+C83-C85+C87</f>
        <v>67.750726569294642</v>
      </c>
      <c r="D88" s="145">
        <f>+D83-D85+D87</f>
        <v>82.755468775898819</v>
      </c>
      <c r="E88" s="788"/>
      <c r="F88" s="358">
        <v>7.0000000000000007E-2</v>
      </c>
      <c r="G88" s="359">
        <v>6.720000000000001E-2</v>
      </c>
      <c r="H88" s="359">
        <v>6.8600000000000008E-2</v>
      </c>
      <c r="I88" s="359">
        <v>7.0000000000000007E-2</v>
      </c>
      <c r="J88" s="359">
        <v>0.10500000000000001</v>
      </c>
      <c r="K88" s="359">
        <v>7.2800000000000004E-2</v>
      </c>
      <c r="L88" s="359">
        <v>7.4200000000000016E-2</v>
      </c>
      <c r="M88" s="359">
        <v>7.5600000000000014E-2</v>
      </c>
      <c r="N88" s="359">
        <v>7.7000000000000013E-2</v>
      </c>
    </row>
    <row r="89" spans="1:14" ht="16">
      <c r="A89" s="108" t="s">
        <v>214</v>
      </c>
      <c r="B89" s="145">
        <f>+'conto economico va'!H14/'Stato patrimoniale'!B65</f>
        <v>1.1511098319867159</v>
      </c>
      <c r="C89" s="145">
        <f>+'conto economico va'!E14/'Stato patrimoniale'!C65</f>
        <v>1.0925067021940158</v>
      </c>
      <c r="D89" s="145">
        <f>+'conto economico va'!B14/'Stato patrimoniale'!D65</f>
        <v>1.148130107199915</v>
      </c>
      <c r="E89" s="788"/>
      <c r="F89" s="358">
        <v>2.5000000000000001E-2</v>
      </c>
      <c r="G89" s="359">
        <v>2.4E-2</v>
      </c>
      <c r="H89" s="359">
        <v>2.4500000000000001E-2</v>
      </c>
      <c r="I89" s="359">
        <v>2.5000000000000001E-2</v>
      </c>
      <c r="J89" s="359">
        <v>3.7500000000000006E-2</v>
      </c>
      <c r="K89" s="359">
        <v>2.6000000000000002E-2</v>
      </c>
      <c r="L89" s="359">
        <v>2.6500000000000003E-2</v>
      </c>
      <c r="M89" s="359">
        <v>2.7000000000000003E-2</v>
      </c>
      <c r="N89" s="359">
        <v>2.7500000000000004E-2</v>
      </c>
    </row>
    <row r="90" spans="1:14" ht="16">
      <c r="A90" s="108" t="s">
        <v>268</v>
      </c>
      <c r="B90" s="145">
        <f>'conto economico va'!H14/'Stato patrimoniale'!B71</f>
        <v>0.86336887308926635</v>
      </c>
      <c r="C90" s="145">
        <f>'conto economico va'!E14/'Stato patrimoniale'!C71</f>
        <v>0.9002940427966809</v>
      </c>
      <c r="D90" s="145">
        <f>'conto economico va'!B14/'Stato patrimoniale'!D71</f>
        <v>0.96653500147170512</v>
      </c>
      <c r="E90" s="788"/>
      <c r="F90" s="358">
        <v>2.5999999999999999E-2</v>
      </c>
      <c r="G90" s="359">
        <v>2.496E-2</v>
      </c>
      <c r="H90" s="359">
        <v>2.5479999999999999E-2</v>
      </c>
      <c r="I90" s="359">
        <v>2.5999999999999999E-2</v>
      </c>
      <c r="J90" s="359">
        <v>3.9E-2</v>
      </c>
      <c r="K90" s="359">
        <v>2.7039999999999998E-2</v>
      </c>
      <c r="L90" s="359">
        <v>2.7560000000000001E-2</v>
      </c>
      <c r="M90" s="359">
        <v>2.8080000000000001E-2</v>
      </c>
      <c r="N90" s="359">
        <v>2.86E-2</v>
      </c>
    </row>
    <row r="91" spans="1:14" ht="16">
      <c r="A91" s="108" t="s">
        <v>245</v>
      </c>
      <c r="B91" s="152">
        <f>+B81*B90</f>
        <v>2.7521329573388643E-2</v>
      </c>
      <c r="C91" s="152">
        <f>+C81*C90</f>
        <v>4.9912711110246593E-3</v>
      </c>
      <c r="D91" s="152">
        <f>+D81*D90</f>
        <v>1.9024734885848178E-2</v>
      </c>
      <c r="E91" s="788"/>
      <c r="F91" s="358">
        <v>2.7E-2</v>
      </c>
      <c r="G91" s="359">
        <v>2.5919999999999999E-2</v>
      </c>
      <c r="H91" s="359">
        <v>2.6460000000000001E-2</v>
      </c>
      <c r="I91" s="359">
        <v>2.7E-2</v>
      </c>
      <c r="J91" s="359">
        <v>4.0500000000000001E-2</v>
      </c>
      <c r="K91" s="359">
        <v>2.8080000000000001E-2</v>
      </c>
      <c r="L91" s="359">
        <v>2.862E-2</v>
      </c>
      <c r="M91" s="359">
        <v>2.9160000000000002E-2</v>
      </c>
      <c r="N91" s="359">
        <v>2.9700000000000001E-2</v>
      </c>
    </row>
    <row r="92" spans="1:14" ht="16">
      <c r="A92" s="108" t="s">
        <v>234</v>
      </c>
      <c r="B92" s="154">
        <f>+'conto economico va'!I74/'Stato patrimoniale'!B73</f>
        <v>-3.60203184696746E-2</v>
      </c>
      <c r="C92" s="152">
        <f>+'conto economico va'!F74/C73</f>
        <v>-3.9133597647100893E-2</v>
      </c>
      <c r="D92" s="152">
        <f>'conto economico va'!C74/D73</f>
        <v>-4.4286374817154174E-2</v>
      </c>
      <c r="E92" s="788"/>
      <c r="F92" s="358">
        <v>2.8000000000000001E-2</v>
      </c>
      <c r="G92" s="359">
        <v>2.6880000000000001E-2</v>
      </c>
      <c r="H92" s="359">
        <v>2.7439999999999999E-2</v>
      </c>
      <c r="I92" s="359">
        <v>2.8000000000000001E-2</v>
      </c>
      <c r="J92" s="359">
        <v>4.2000000000000003E-2</v>
      </c>
      <c r="K92" s="359">
        <v>2.912E-2</v>
      </c>
      <c r="L92" s="359">
        <v>2.9680000000000002E-2</v>
      </c>
      <c r="M92" s="359">
        <v>3.0240000000000003E-2</v>
      </c>
      <c r="N92" s="359">
        <v>3.0800000000000004E-2</v>
      </c>
    </row>
    <row r="93" spans="1:14" ht="12" customHeight="1">
      <c r="A93" s="108" t="s">
        <v>247</v>
      </c>
      <c r="B93" s="112">
        <f>+B65/F65</f>
        <v>0.92925950765305865</v>
      </c>
      <c r="C93" s="112">
        <f>+C65/G65</f>
        <v>0.94427832807308476</v>
      </c>
      <c r="D93" s="112">
        <f>+D65/H65</f>
        <v>0.9530333141913705</v>
      </c>
      <c r="E93" s="788"/>
      <c r="F93" s="358">
        <v>2.9000000000000001E-2</v>
      </c>
      <c r="G93" s="359">
        <v>2.784E-2</v>
      </c>
      <c r="H93" s="359">
        <v>2.8420000000000001E-2</v>
      </c>
      <c r="I93" s="359">
        <v>2.9000000000000001E-2</v>
      </c>
      <c r="J93" s="359">
        <v>4.3500000000000004E-2</v>
      </c>
      <c r="K93" s="359">
        <v>3.0160000000000003E-2</v>
      </c>
      <c r="L93" s="359">
        <v>3.0740000000000003E-2</v>
      </c>
      <c r="M93" s="359">
        <v>3.1320000000000001E-2</v>
      </c>
      <c r="N93" s="359">
        <v>3.1900000000000005E-2</v>
      </c>
    </row>
    <row r="94" spans="1:14" ht="16">
      <c r="A94" s="108" t="s">
        <v>250</v>
      </c>
      <c r="B94" s="145">
        <f>+(B61+B47+B50)/F65</f>
        <v>0.31929117158606213</v>
      </c>
      <c r="C94" s="145">
        <f>+(C61+C47+C50)/G65</f>
        <v>0.33441528770884971</v>
      </c>
      <c r="D94" s="145">
        <f>+(D61+D47+D50)/H65</f>
        <v>0.34602915895636865</v>
      </c>
      <c r="E94" s="788"/>
      <c r="F94" s="358">
        <v>0.03</v>
      </c>
      <c r="G94" s="359">
        <v>2.8799999999999999E-2</v>
      </c>
      <c r="H94" s="359">
        <v>2.9399999999999999E-2</v>
      </c>
      <c r="I94" s="359">
        <v>0.03</v>
      </c>
      <c r="J94" s="359">
        <v>4.4999999999999998E-2</v>
      </c>
      <c r="K94" s="359">
        <v>3.1199999999999999E-2</v>
      </c>
      <c r="L94" s="359">
        <v>3.1800000000000002E-2</v>
      </c>
      <c r="M94" s="359">
        <v>3.2399999999999998E-2</v>
      </c>
      <c r="N94" s="359">
        <v>3.3000000000000002E-2</v>
      </c>
    </row>
    <row r="95" spans="1:14" ht="13">
      <c r="A95" s="108" t="s">
        <v>213</v>
      </c>
      <c r="B95" s="493">
        <f>+B61/F65</f>
        <v>3.548661087049626E-3</v>
      </c>
      <c r="C95" s="493">
        <f>+C61/G65</f>
        <v>4.5644543903758253E-3</v>
      </c>
      <c r="D95" s="152">
        <f>+D61/H65</f>
        <v>1.7034568324203641E-3</v>
      </c>
      <c r="E95" s="27"/>
      <c r="F95" s="27"/>
      <c r="G95" s="27"/>
      <c r="H95" s="27"/>
      <c r="I95" s="27"/>
      <c r="J95" s="27"/>
      <c r="K95" s="27"/>
      <c r="L95" s="27"/>
    </row>
    <row r="96" spans="1:14" ht="13">
      <c r="A96" s="149" t="s">
        <v>289</v>
      </c>
      <c r="B96" s="155"/>
      <c r="C96" s="157">
        <f>+'conto economico va'!E14/'conto economico va'!H14-1</f>
        <v>6.6543729493668602E-2</v>
      </c>
      <c r="D96" s="157">
        <f>+'conto economico va'!B14/'conto economico va'!E14-1</f>
        <v>7.0715567529163748E-2</v>
      </c>
      <c r="E96" s="45"/>
    </row>
    <row r="97" spans="1:10" ht="13">
      <c r="A97" s="108" t="s">
        <v>90</v>
      </c>
      <c r="B97" s="155"/>
      <c r="C97" s="493">
        <f>+G15/F15-1</f>
        <v>1.9527660445441963E-3</v>
      </c>
      <c r="D97" s="152">
        <f>+H15/G15-1</f>
        <v>7.931383626571975E-3</v>
      </c>
      <c r="E97" s="45">
        <v>0.5</v>
      </c>
      <c r="G97" s="171"/>
    </row>
    <row r="98" spans="1:10">
      <c r="A98" s="123" t="s">
        <v>53</v>
      </c>
      <c r="B98" s="156"/>
      <c r="C98" s="156">
        <f>+C71/B71-1</f>
        <v>2.2799900988933475E-2</v>
      </c>
      <c r="D98" s="156">
        <f>+D71/C71-1</f>
        <v>-2.6653504442251119E-3</v>
      </c>
      <c r="G98" s="507"/>
      <c r="H98" s="171"/>
      <c r="I98" s="507"/>
      <c r="J98" s="507"/>
    </row>
    <row r="99" spans="1:10">
      <c r="F99" s="171"/>
      <c r="G99" s="506"/>
      <c r="I99" s="171"/>
      <c r="J99" s="171"/>
    </row>
    <row r="100" spans="1:10">
      <c r="B100" s="495"/>
      <c r="C100" s="495"/>
      <c r="F100" s="171"/>
      <c r="G100" s="21"/>
    </row>
    <row r="101" spans="1:10">
      <c r="C101" s="597" t="s">
        <v>674</v>
      </c>
      <c r="E101" s="597" t="s">
        <v>178</v>
      </c>
      <c r="F101" s="171" t="s">
        <v>746</v>
      </c>
      <c r="G101" s="597" t="s">
        <v>149</v>
      </c>
    </row>
    <row r="102" spans="1:10">
      <c r="B102" s="679" t="s">
        <v>130</v>
      </c>
      <c r="C102" s="676">
        <f>+D74</f>
        <v>2610125</v>
      </c>
      <c r="D102" s="677">
        <f>+D73</f>
        <v>3542602</v>
      </c>
      <c r="E102" s="717" t="s">
        <v>744</v>
      </c>
      <c r="F102" s="597" t="s">
        <v>745</v>
      </c>
      <c r="G102" s="171" t="s">
        <v>744</v>
      </c>
    </row>
    <row r="103" spans="1:10">
      <c r="B103" s="680" t="s">
        <v>261</v>
      </c>
      <c r="C103" s="677">
        <f>+'conto economico va'!B61*3.5+D61</f>
        <v>1513008.5</v>
      </c>
      <c r="D103" s="677"/>
      <c r="E103" s="717" t="s">
        <v>745</v>
      </c>
      <c r="F103" s="597" t="s">
        <v>642</v>
      </c>
      <c r="G103" s="171" t="s">
        <v>642</v>
      </c>
    </row>
    <row r="104" spans="1:10">
      <c r="B104" s="171" t="s">
        <v>601</v>
      </c>
      <c r="C104" s="93">
        <f>+'conto economico va'!B68*0.3</f>
        <v>35116.199999999997</v>
      </c>
      <c r="E104" s="678"/>
    </row>
    <row r="105" spans="1:10" ht="16">
      <c r="A105" s="354"/>
      <c r="B105" s="354"/>
      <c r="C105" s="93">
        <f>-C104/D92</f>
        <v>792934.62481372163</v>
      </c>
      <c r="D105" s="355"/>
    </row>
    <row r="107" spans="1:10" ht="16">
      <c r="A107" s="353"/>
      <c r="B107" s="353"/>
      <c r="C107" s="353"/>
      <c r="D107" s="355"/>
    </row>
    <row r="109" spans="1:10">
      <c r="A109" s="13"/>
      <c r="B109" s="171"/>
    </row>
    <row r="111" spans="1:10">
      <c r="A111" s="13"/>
      <c r="B111" s="171"/>
    </row>
    <row r="113" spans="1:6">
      <c r="A113" s="495"/>
      <c r="B113" s="171"/>
      <c r="D113" s="171"/>
    </row>
    <row r="114" spans="1:6">
      <c r="E114" s="171"/>
      <c r="F114" s="171"/>
    </row>
    <row r="115" spans="1:6">
      <c r="B115" s="171"/>
      <c r="C115" s="171"/>
      <c r="D115" s="171"/>
      <c r="F115" s="171"/>
    </row>
    <row r="116" spans="1:6">
      <c r="B116" s="171"/>
      <c r="D116" s="171"/>
    </row>
  </sheetData>
  <mergeCells count="6">
    <mergeCell ref="A13:D13"/>
    <mergeCell ref="I13:J13"/>
    <mergeCell ref="G77:N77"/>
    <mergeCell ref="E78:E94"/>
    <mergeCell ref="K13:L13"/>
    <mergeCell ref="E13:H13"/>
  </mergeCells>
  <phoneticPr fontId="11"/>
  <hyperlinks>
    <hyperlink ref="B3" location="'conto economico va'!C4" display="CONTO ECONOMICO A VALORE AGGIUNTO" xr:uid="{DAF38A1B-26E9-8C43-96C1-AD4D238D418E}"/>
    <hyperlink ref="B4" location="'conto economico margine '!C4" display="CONTO ECONOMICO A MARGINE DI CONTRIBUZIONE" xr:uid="{B12FDC3C-1BFC-8D41-B9F0-7A767F40982E}"/>
    <hyperlink ref="B6" location="'break even'!C4" display="BREAK EVEN" xr:uid="{58377389-C0F1-BD4C-AA3E-54F3A030E3FC}"/>
    <hyperlink ref="B8" location="'stato patrimoniale'!C4" display="STATO PATRIMONIALE" xr:uid="{B6D6E3D0-4B49-4F41-A32E-AFAFFC879CFF}"/>
    <hyperlink ref="B9" location="'rendiconto finanziario'!A1" display="RENDICONTO FINANZIARIO" xr:uid="{77CFC7C9-7565-AF4A-A01C-BF063BA1858D}"/>
    <hyperlink ref="B7" location="Pareto!A1" display="PARETO" xr:uid="{25D3A020-545F-BD47-ADEC-674363B153CC}"/>
    <hyperlink ref="B2" location="'bilancio cee'!A1" display="BILANCIO CEE" xr:uid="{09FC40BB-9A55-D940-BFDD-4FE189D68C70}"/>
    <hyperlink ref="B5" location="'Conto economico RI'!A1" display="CONTO ECONOMICO RI" xr:uid="{0575F7D6-1C22-E248-8EA4-2593853DCF79}"/>
    <hyperlink ref="E3" location="'rendiconto OIC'!A1" display="RENDICONTO OIC" xr:uid="{C2429675-D920-D84A-8171-69B65A788F3F}"/>
    <hyperlink ref="E4" location="'flussi di ccn'!A1" display="FLUSSI CCN" xr:uid="{2BF99ECA-B7BC-CF4E-9A63-C08367A2DD6A}"/>
    <hyperlink ref="E6" location="'albero redditività'!A1" display="ALBERO REDDITITIVITA'" xr:uid="{9EF57290-2A8A-6041-8053-95A90A35AE11}"/>
    <hyperlink ref="E7" location="indici!A1" display="INDICI" xr:uid="{1B1D9A65-8012-564D-AC1E-742557AC8A77}"/>
    <hyperlink ref="E8" location="'indicatori crisi'!A1" display="INDICI DI CRISI" xr:uid="{C8C41EF8-06E4-A94E-8A60-3495130583AB}"/>
    <hyperlink ref="E9" location="valutazione!A1" display="VALUTAZIONE" xr:uid="{33054322-8DC6-404F-AD34-BA7D01055163}"/>
    <hyperlink ref="E2" location="'rendiconto di liquidità'!A1" display="RENDICONTO DI LIQUIDITA'" xr:uid="{1BF40B63-63BD-954F-A8E5-89969A0DED5B}"/>
    <hyperlink ref="E5" location="'albero redditività'!A1" display="ALBERO REDDITITIVITA'" xr:uid="{EDB04CE1-DD0B-3243-8477-2110E6C87C34}"/>
  </hyperlinks>
  <printOptions horizontalCentered="1" verticalCentered="1"/>
  <pageMargins left="0" right="0" top="0" bottom="0" header="0.23622047244094491" footer="0.27559055118110237"/>
  <pageSetup paperSize="9" scale="96" orientation="landscape" horizontalDpi="4294967292" verticalDpi="429496729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E50"/>
  <sheetViews>
    <sheetView showGridLines="0" topLeftCell="A25" zoomScale="210" zoomScaleNormal="210" workbookViewId="0">
      <selection activeCell="D49" sqref="D49"/>
    </sheetView>
  </sheetViews>
  <sheetFormatPr baseColWidth="10" defaultColWidth="11.5" defaultRowHeight="12"/>
  <cols>
    <col min="1" max="1" width="37" customWidth="1"/>
    <col min="2" max="2" width="13.33203125" customWidth="1"/>
    <col min="3" max="3" width="11.33203125" bestFit="1" customWidth="1"/>
    <col min="5" max="5" width="12.6640625" bestFit="1" customWidth="1"/>
  </cols>
  <sheetData>
    <row r="1" spans="1:5" ht="18">
      <c r="A1" s="454"/>
      <c r="B1" s="454"/>
    </row>
    <row r="2" spans="1:5" ht="18">
      <c r="A2" s="454">
        <v>1</v>
      </c>
      <c r="B2" s="663" t="s">
        <v>659</v>
      </c>
      <c r="D2" s="454">
        <v>9</v>
      </c>
      <c r="E2" s="663" t="s">
        <v>610</v>
      </c>
    </row>
    <row r="3" spans="1:5" ht="18">
      <c r="A3" s="454">
        <v>2</v>
      </c>
      <c r="B3" s="663" t="s">
        <v>607</v>
      </c>
      <c r="D3" s="454">
        <v>10</v>
      </c>
      <c r="E3" s="663" t="s">
        <v>661</v>
      </c>
    </row>
    <row r="4" spans="1:5" ht="18">
      <c r="A4" s="454">
        <v>3</v>
      </c>
      <c r="B4" s="663" t="s">
        <v>609</v>
      </c>
      <c r="D4" s="454">
        <v>11</v>
      </c>
      <c r="E4" s="663" t="s">
        <v>662</v>
      </c>
    </row>
    <row r="5" spans="1:5" ht="18">
      <c r="A5" s="454">
        <v>4</v>
      </c>
      <c r="B5" s="663" t="s">
        <v>660</v>
      </c>
      <c r="D5" s="454">
        <v>12</v>
      </c>
      <c r="E5" s="663" t="s">
        <v>663</v>
      </c>
    </row>
    <row r="6" spans="1:5" ht="18">
      <c r="A6" s="454">
        <v>5</v>
      </c>
      <c r="B6" s="663" t="s">
        <v>611</v>
      </c>
      <c r="D6" s="454">
        <v>13</v>
      </c>
      <c r="E6" s="663" t="s">
        <v>663</v>
      </c>
    </row>
    <row r="7" spans="1:5" ht="18">
      <c r="A7" s="454">
        <v>6</v>
      </c>
      <c r="B7" s="663" t="s">
        <v>613</v>
      </c>
      <c r="D7" s="454">
        <v>14</v>
      </c>
      <c r="E7" s="663" t="s">
        <v>664</v>
      </c>
    </row>
    <row r="8" spans="1:5" ht="18">
      <c r="A8" s="454">
        <v>7</v>
      </c>
      <c r="B8" s="663" t="s">
        <v>612</v>
      </c>
      <c r="D8" s="454">
        <v>15</v>
      </c>
      <c r="E8" s="663" t="s">
        <v>665</v>
      </c>
    </row>
    <row r="9" spans="1:5" ht="18">
      <c r="A9" s="454">
        <v>8</v>
      </c>
      <c r="B9" s="663" t="s">
        <v>608</v>
      </c>
      <c r="D9" s="454">
        <v>16</v>
      </c>
      <c r="E9" s="663" t="s">
        <v>666</v>
      </c>
    </row>
    <row r="12" spans="1:5" ht="13" thickBot="1"/>
    <row r="13" spans="1:5" ht="19" thickBot="1">
      <c r="B13" s="446" t="s">
        <v>441</v>
      </c>
      <c r="C13" s="352" t="s">
        <v>442</v>
      </c>
      <c r="D13" s="352" t="s">
        <v>443</v>
      </c>
    </row>
    <row r="14" spans="1:5">
      <c r="A14" t="s">
        <v>224</v>
      </c>
      <c r="B14" s="14">
        <f>+'conto economico va'!H88</f>
        <v>94719</v>
      </c>
      <c r="C14" s="14">
        <f>+'conto economico va'!E88</f>
        <v>5048</v>
      </c>
      <c r="D14" s="14">
        <f>+'conto economico va'!$B$88</f>
        <v>20538</v>
      </c>
    </row>
    <row r="15" spans="1:5">
      <c r="A15" t="s">
        <v>235</v>
      </c>
      <c r="B15" s="14">
        <f>+'conto economico va'!H63</f>
        <v>317744</v>
      </c>
      <c r="C15" s="14">
        <f>+'conto economico va'!E63</f>
        <v>374668</v>
      </c>
      <c r="D15" s="14">
        <f>+'conto economico va'!$B$63</f>
        <v>312589</v>
      </c>
    </row>
    <row r="16" spans="1:5">
      <c r="A16" t="s">
        <v>57</v>
      </c>
      <c r="B16" s="14">
        <f>+'conto economico va'!I56</f>
        <v>37133</v>
      </c>
      <c r="C16" s="14">
        <f>+'conto economico va'!F56</f>
        <v>39166</v>
      </c>
      <c r="D16" s="14">
        <f>+'conto economico va'!C56</f>
        <v>40649</v>
      </c>
    </row>
    <row r="17" spans="1:5">
      <c r="A17" t="s">
        <v>254</v>
      </c>
      <c r="B17" s="14">
        <f>-'conto economico va'!H86-'conto economico va'!H85</f>
        <v>52539</v>
      </c>
      <c r="C17" s="14">
        <f>-'conto economico va'!E86-'conto economico va'!E85</f>
        <v>49105</v>
      </c>
      <c r="D17" s="14">
        <f>-'conto economico va'!$B$86-'conto economico va'!$B$85</f>
        <v>50046</v>
      </c>
    </row>
    <row r="19" spans="1:5">
      <c r="A19" s="2" t="s">
        <v>283</v>
      </c>
      <c r="B19" s="14">
        <f>SUM(B14:B18)</f>
        <v>502135</v>
      </c>
      <c r="C19" s="14">
        <f>SUM(C14:C18)</f>
        <v>467987</v>
      </c>
      <c r="D19" s="14">
        <f>SUM(D14:D18)</f>
        <v>423822</v>
      </c>
      <c r="E19" s="93"/>
    </row>
    <row r="22" spans="1:5">
      <c r="A22" s="16"/>
      <c r="E22" s="609"/>
    </row>
    <row r="23" spans="1:5">
      <c r="A23" t="s">
        <v>147</v>
      </c>
      <c r="B23" s="44"/>
      <c r="C23" s="44">
        <f>-'Stato patrimoniale'!J47-'conto economico va'!F66</f>
        <v>-153834</v>
      </c>
      <c r="D23" s="44">
        <f>-'Stato patrimoniale'!I47-'conto economico va'!C66</f>
        <v>-89332</v>
      </c>
    </row>
    <row r="24" spans="1:5">
      <c r="A24" t="s">
        <v>134</v>
      </c>
      <c r="B24" s="44"/>
      <c r="C24" s="44">
        <f>+'Stato patrimoniale'!L47-C17</f>
        <v>332888</v>
      </c>
      <c r="D24" s="44">
        <f>+'Stato patrimoniale'!K47-'rendiconto finanziario'!D17</f>
        <v>-201186</v>
      </c>
    </row>
    <row r="25" spans="1:5">
      <c r="A25" t="s">
        <v>183</v>
      </c>
      <c r="B25" s="44"/>
      <c r="C25" s="44">
        <f>-'Stato patrimoniale'!J56</f>
        <v>-313848</v>
      </c>
      <c r="D25" s="44">
        <f>-'Stato patrimoniale'!I56</f>
        <v>-15599</v>
      </c>
    </row>
    <row r="26" spans="1:5">
      <c r="A26" t="s">
        <v>181</v>
      </c>
      <c r="B26" s="44"/>
      <c r="C26" s="44">
        <f>-'Stato patrimoniale'!J50</f>
        <v>-152156</v>
      </c>
      <c r="D26" s="44">
        <f>-'Stato patrimoniale'!I50</f>
        <v>-13463</v>
      </c>
    </row>
    <row r="28" spans="1:5">
      <c r="A28" s="2" t="s">
        <v>144</v>
      </c>
      <c r="B28" s="14">
        <f>SUM(B23:B27)</f>
        <v>0</v>
      </c>
      <c r="C28" s="14">
        <f>SUM(C23:C27)</f>
        <v>-286950</v>
      </c>
      <c r="D28" s="14">
        <f>SUM(D23:D27)</f>
        <v>-319580</v>
      </c>
    </row>
    <row r="30" spans="1:5">
      <c r="A30" s="17" t="s">
        <v>288</v>
      </c>
      <c r="B30" s="18">
        <f>+B19+B28</f>
        <v>502135</v>
      </c>
      <c r="C30" s="18">
        <f>+C19+C28</f>
        <v>181037</v>
      </c>
      <c r="D30" s="18">
        <f>+D19+D28</f>
        <v>104242</v>
      </c>
    </row>
    <row r="33" spans="1:5">
      <c r="A33" t="s">
        <v>233</v>
      </c>
      <c r="B33" s="14"/>
      <c r="C33" s="14">
        <f>-'Stato patrimoniale'!J15-'conto economico va'!F64</f>
        <v>-259516</v>
      </c>
      <c r="D33" s="14">
        <f>-'Stato patrimoniale'!I15-'conto economico va'!$C$64</f>
        <v>-65545</v>
      </c>
    </row>
    <row r="34" spans="1:5">
      <c r="A34" t="s">
        <v>242</v>
      </c>
      <c r="B34" s="14"/>
      <c r="C34" s="14">
        <f>-'Stato patrimoniale'!J24-'conto economico va'!F65</f>
        <v>-28843</v>
      </c>
      <c r="D34" s="14">
        <f>-'Stato patrimoniale'!I24-'conto economico va'!$C$65</f>
        <v>-11249</v>
      </c>
    </row>
    <row r="35" spans="1:5">
      <c r="A35" t="s">
        <v>248</v>
      </c>
      <c r="B35" s="14"/>
      <c r="C35" s="14">
        <f>-'Stato patrimoniale'!J38</f>
        <v>-4264</v>
      </c>
      <c r="D35" s="14">
        <f>-'Stato patrimoniale'!I38</f>
        <v>-4318</v>
      </c>
    </row>
    <row r="36" spans="1:5">
      <c r="A36" t="s">
        <v>197</v>
      </c>
      <c r="B36" s="14"/>
      <c r="C36" s="14">
        <f>+'Stato patrimoniale'!L15-C14</f>
        <v>-1</v>
      </c>
      <c r="D36" s="14">
        <f>+'Stato patrimoniale'!K15-'rendiconto finanziario'!D14</f>
        <v>1</v>
      </c>
    </row>
    <row r="37" spans="1:5">
      <c r="A37" t="s">
        <v>204</v>
      </c>
      <c r="B37" s="14"/>
      <c r="C37" s="14">
        <f>+'Stato patrimoniale'!L24-C16</f>
        <v>-13589</v>
      </c>
      <c r="D37" s="14">
        <f>+'Stato patrimoniale'!K24-D16</f>
        <v>-1465</v>
      </c>
    </row>
    <row r="38" spans="1:5">
      <c r="B38" s="14"/>
      <c r="C38" s="14"/>
      <c r="D38" s="14"/>
    </row>
    <row r="39" spans="1:5">
      <c r="B39" s="14"/>
      <c r="C39" s="14"/>
      <c r="D39" s="14"/>
    </row>
    <row r="41" spans="1:5">
      <c r="A41" s="17" t="s">
        <v>207</v>
      </c>
      <c r="B41" s="18">
        <f>SUM(B33:B39)</f>
        <v>0</v>
      </c>
      <c r="C41" s="18">
        <f>SUM(C33:C39)</f>
        <v>-306213</v>
      </c>
      <c r="D41" s="18">
        <f>SUM(D33:D39)</f>
        <v>-82576</v>
      </c>
    </row>
    <row r="43" spans="1:5">
      <c r="A43" s="19" t="s">
        <v>251</v>
      </c>
      <c r="B43" s="20">
        <f>+B30+B41</f>
        <v>502135</v>
      </c>
      <c r="C43" s="20">
        <f>+C30+C41</f>
        <v>-125176</v>
      </c>
      <c r="D43" s="20">
        <f>+D30+D41</f>
        <v>21666</v>
      </c>
    </row>
    <row r="47" spans="1:5">
      <c r="A47" t="s">
        <v>93</v>
      </c>
      <c r="B47" s="29"/>
      <c r="C47" s="29">
        <f>+'Stato patrimoniale'!J61</f>
        <v>7298</v>
      </c>
      <c r="D47" s="29">
        <f>+'Stato patrimoniale'!I61</f>
        <v>-15316</v>
      </c>
      <c r="E47" s="495"/>
    </row>
    <row r="48" spans="1:5">
      <c r="A48" t="s">
        <v>205</v>
      </c>
      <c r="B48" s="29"/>
      <c r="C48" s="29">
        <f>-'Stato patrimoniale'!L62</f>
        <v>-133468</v>
      </c>
      <c r="D48" s="29">
        <f>-'Stato patrimoniale'!K62</f>
        <v>-202195</v>
      </c>
    </row>
    <row r="49" spans="1:4">
      <c r="A49" t="s">
        <v>206</v>
      </c>
      <c r="B49" s="29"/>
      <c r="C49" s="29">
        <f>-'Stato patrimoniale'!L41</f>
        <v>994</v>
      </c>
      <c r="D49" s="29">
        <f>-'Stato patrimoniale'!K41</f>
        <v>239177</v>
      </c>
    </row>
    <row r="50" spans="1:4">
      <c r="A50" s="19" t="s">
        <v>44</v>
      </c>
      <c r="B50" s="97">
        <f>SUM(B47:B49)</f>
        <v>0</v>
      </c>
      <c r="C50" s="97">
        <f>SUM(C47:C49)</f>
        <v>-125176</v>
      </c>
      <c r="D50" s="97">
        <f>SUM(D47:D49)</f>
        <v>21666</v>
      </c>
    </row>
  </sheetData>
  <phoneticPr fontId="11" type="noConversion"/>
  <hyperlinks>
    <hyperlink ref="B3" location="'conto economico va'!C4" display="CONTO ECONOMICO A VALORE AGGIUNTO" xr:uid="{A3512265-E7F1-BB44-A645-06BDB3708FF0}"/>
    <hyperlink ref="B4" location="'conto economico margine '!C4" display="CONTO ECONOMICO A MARGINE DI CONTRIBUZIONE" xr:uid="{D06F601A-61D0-B646-A8C1-24CB7920618F}"/>
    <hyperlink ref="B6" location="'break even'!C4" display="BREAK EVEN" xr:uid="{06CA86D9-5C4D-4946-A5CE-DF6F1DC6050E}"/>
    <hyperlink ref="B8" location="'stato patrimoniale'!C4" display="STATO PATRIMONIALE" xr:uid="{5218F225-A621-A047-BAF4-C3139364E6C2}"/>
    <hyperlink ref="B9" location="'rendiconto finanziario'!A1" display="RENDICONTO FINANZIARIO" xr:uid="{FED57C38-D187-5349-B9E6-0338D3DB8688}"/>
    <hyperlink ref="B7" location="Pareto!A1" display="PARETO" xr:uid="{52FA0C73-63FA-1546-A27D-6AA31D866245}"/>
    <hyperlink ref="B2" location="'bilancio cee'!A1" display="BILANCIO CEE" xr:uid="{C3D76956-95FF-BB43-86D0-473E25BC7864}"/>
    <hyperlink ref="B5" location="'Conto economico RI'!A1" display="CONTO ECONOMICO RI" xr:uid="{82A28342-6D35-2D42-91BB-F36527DCD170}"/>
    <hyperlink ref="E3" location="'rendiconto OIC'!A1" display="RENDICONTO OIC" xr:uid="{8CDF54BE-5901-474E-AE7C-D49A04B82EC7}"/>
    <hyperlink ref="E4" location="'flussi di ccn'!A1" display="FLUSSI CCN" xr:uid="{66981DB7-9627-EE45-9EF0-A9F46180BE0A}"/>
    <hyperlink ref="E6" location="'albero redditività'!A1" display="ALBERO REDDITITIVITA'" xr:uid="{6A822989-659A-5C4F-BB01-5D1081F8BD03}"/>
    <hyperlink ref="E7" location="indici!A1" display="INDICI" xr:uid="{D2948069-92C7-3A49-A2F3-CEEA4A1F8C29}"/>
    <hyperlink ref="E8" location="'indicatori crisi'!A1" display="INDICI DI CRISI" xr:uid="{F38AF844-AB6C-8E4B-8C92-956DC5CD1841}"/>
    <hyperlink ref="E9" location="valutazione!A1" display="VALUTAZIONE" xr:uid="{70740DDF-3BC9-C842-A89F-85234CFB62EF}"/>
    <hyperlink ref="E2" location="'rendiconto di liquidità'!A1" display="RENDICONTO DI LIQUIDITA'" xr:uid="{596C6704-8B89-8D4B-9B8F-8D033CD298C6}"/>
    <hyperlink ref="E5" location="'albero redditività'!A1" display="ALBERO REDDITITIVITA'" xr:uid="{C8A0B4C4-BEBA-DA41-967B-9DFB0AC968E2}"/>
  </hyperlinks>
  <printOptions horizontalCentered="1"/>
  <pageMargins left="0" right="0" top="0.98425196850393704" bottom="0.98425196850393704" header="0.51181102362204722" footer="0.51181102362204722"/>
  <pageSetup paperSize="0" orientation="portrait" horizontalDpi="4294967292" verticalDpi="4294967292"/>
  <headerFooter alignWithMargins="0">
    <oddHeader>&amp;L&amp;CRENDICONTO FINANZIARIO&amp;R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17</vt:i4>
      </vt:variant>
      <vt:variant>
        <vt:lpstr>Intervalli denominati</vt:lpstr>
      </vt:variant>
      <vt:variant>
        <vt:i4>9</vt:i4>
      </vt:variant>
    </vt:vector>
  </HeadingPairs>
  <TitlesOfParts>
    <vt:vector size="26" baseType="lpstr">
      <vt:lpstr>indice</vt:lpstr>
      <vt:lpstr>bilancio cee</vt:lpstr>
      <vt:lpstr>conto economico va</vt:lpstr>
      <vt:lpstr>conto economico margine </vt:lpstr>
      <vt:lpstr>Conto economico RI</vt:lpstr>
      <vt:lpstr>break even</vt:lpstr>
      <vt:lpstr>pareto</vt:lpstr>
      <vt:lpstr>Stato patrimoniale</vt:lpstr>
      <vt:lpstr>rendiconto finanziario</vt:lpstr>
      <vt:lpstr>rendiconto di liquidità</vt:lpstr>
      <vt:lpstr>rendiconto OIC</vt:lpstr>
      <vt:lpstr>flussi di ccn</vt:lpstr>
      <vt:lpstr>albero redditività</vt:lpstr>
      <vt:lpstr>indici</vt:lpstr>
      <vt:lpstr>Kri e Kpi</vt:lpstr>
      <vt:lpstr>indicatori crisi</vt:lpstr>
      <vt:lpstr>valutazione</vt:lpstr>
      <vt:lpstr>'break even'!Area_stampa</vt:lpstr>
      <vt:lpstr>'conto economico margine '!Area_stampa</vt:lpstr>
      <vt:lpstr>'conto economico va'!Area_stampa</vt:lpstr>
      <vt:lpstr>'flussi di ccn'!Area_stampa</vt:lpstr>
      <vt:lpstr>'rendiconto di liquidità'!Area_stampa</vt:lpstr>
      <vt:lpstr>'rendiconto finanziario'!Area_stampa</vt:lpstr>
      <vt:lpstr>'Stato patrimoniale'!Area_stampa</vt:lpstr>
      <vt:lpstr>'conto economico margine '!Titoli_stampa</vt:lpstr>
      <vt:lpstr>'conto economico va'!Titoli_stampa</vt:lpstr>
    </vt:vector>
  </TitlesOfParts>
  <Company>Umberto Fossali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Umberto Fossali</dc:creator>
  <cp:lastModifiedBy>Umberto Fossali</cp:lastModifiedBy>
  <cp:lastPrinted>2010-11-16T06:38:20Z</cp:lastPrinted>
  <dcterms:created xsi:type="dcterms:W3CDTF">2000-10-02T09:59:35Z</dcterms:created>
  <dcterms:modified xsi:type="dcterms:W3CDTF">2026-03-15T16:40:09Z</dcterms:modified>
</cp:coreProperties>
</file>